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eauniversity-my.sharepoint.com/personal/mavu0012_ad_umu_se/Documents/EQ5L study/paper 3- CEA/AZ/submited/HTAJ/"/>
    </mc:Choice>
  </mc:AlternateContent>
  <xr:revisionPtr revIDLastSave="0" documentId="8_{310D66E6-2C33-4391-AD54-8B65A4BFB7FD}" xr6:coauthVersionLast="47" xr6:coauthVersionMax="47" xr10:uidLastSave="{00000000-0000-0000-0000-000000000000}"/>
  <bookViews>
    <workbookView xWindow="28680" yWindow="-120" windowWidth="29040" windowHeight="17640" xr2:uid="{BE3C0FC8-5AC7-4B7D-A132-D2F7BA49E3E2}"/>
  </bookViews>
  <sheets>
    <sheet name="Sheet1" sheetId="1" r:id="rId1"/>
  </sheets>
  <externalReferences>
    <externalReference r:id="rId2"/>
  </externalReferences>
  <definedNames>
    <definedName name="bsa">[1]Control!$D$22</definedName>
    <definedName name="copay">[1]Control!$D$57</definedName>
    <definedName name="lifetime">[1]Parameters!$D$6</definedName>
    <definedName name="weight">[1]Control!$D$24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6" i="1" l="1"/>
  <c r="E166" i="1"/>
  <c r="E165" i="1"/>
  <c r="E164" i="1"/>
  <c r="E163" i="1"/>
  <c r="E162" i="1"/>
  <c r="E161" i="1"/>
  <c r="E160" i="1"/>
  <c r="E159" i="1"/>
  <c r="F153" i="1"/>
  <c r="E153" i="1"/>
  <c r="E152" i="1"/>
  <c r="E151" i="1"/>
  <c r="E150" i="1"/>
  <c r="E149" i="1"/>
  <c r="E148" i="1"/>
  <c r="E147" i="1"/>
  <c r="E146" i="1"/>
  <c r="E133" i="1"/>
  <c r="E131" i="1"/>
  <c r="E130" i="1"/>
  <c r="E129" i="1"/>
  <c r="E123" i="1"/>
  <c r="E118" i="1"/>
  <c r="E117" i="1"/>
  <c r="E116" i="1"/>
  <c r="E115" i="1"/>
  <c r="E114" i="1"/>
  <c r="E109" i="1"/>
  <c r="E105" i="1"/>
  <c r="E103" i="1"/>
  <c r="E102" i="1"/>
  <c r="E101" i="1"/>
  <c r="E96" i="1"/>
  <c r="AB95" i="1"/>
  <c r="AA95" i="1"/>
  <c r="E95" i="1"/>
  <c r="AB94" i="1"/>
  <c r="AA94" i="1"/>
  <c r="E94" i="1"/>
  <c r="H93" i="1"/>
  <c r="AB92" i="1"/>
  <c r="AA92" i="1"/>
  <c r="E92" i="1"/>
  <c r="AB91" i="1"/>
  <c r="AA91" i="1"/>
  <c r="E91" i="1"/>
  <c r="AB90" i="1"/>
  <c r="AA90" i="1"/>
  <c r="AB89" i="1"/>
  <c r="AA89" i="1"/>
  <c r="E89" i="1"/>
  <c r="E86" i="1"/>
  <c r="E85" i="1"/>
  <c r="H85" i="1" s="1"/>
  <c r="H84" i="1"/>
  <c r="E84" i="1"/>
  <c r="E83" i="1"/>
  <c r="E82" i="1"/>
  <c r="E81" i="1"/>
  <c r="E80" i="1"/>
  <c r="E79" i="1"/>
  <c r="E78" i="1"/>
  <c r="E73" i="1"/>
  <c r="E72" i="1"/>
  <c r="E71" i="1"/>
  <c r="H70" i="1"/>
  <c r="E69" i="1"/>
  <c r="E68" i="1"/>
  <c r="E62" i="1"/>
  <c r="E61" i="1"/>
  <c r="E60" i="1"/>
  <c r="AA59" i="1"/>
  <c r="E59" i="1"/>
  <c r="AA58" i="1"/>
  <c r="AC58" i="1" s="1"/>
  <c r="H58" i="1"/>
  <c r="AA57" i="1"/>
  <c r="E57" i="1"/>
  <c r="AA56" i="1"/>
  <c r="AC56" i="1" s="1"/>
  <c r="E56" i="1"/>
  <c r="AC55" i="1"/>
  <c r="AA55" i="1"/>
  <c r="AB55" i="1" s="1"/>
  <c r="E55" i="1"/>
  <c r="AC54" i="1"/>
  <c r="AB54" i="1"/>
  <c r="AA54" i="1"/>
  <c r="E54" i="1"/>
  <c r="AA53" i="1"/>
  <c r="AD52" i="1"/>
  <c r="AA52" i="1"/>
  <c r="AC52" i="1" s="1"/>
  <c r="AA51" i="1"/>
  <c r="AC51" i="1" s="1"/>
  <c r="AD50" i="1"/>
  <c r="G109" i="1" s="1"/>
  <c r="H109" i="1" s="1"/>
  <c r="H110" i="1" s="1"/>
  <c r="B14" i="1" s="1"/>
  <c r="F14" i="1" s="1"/>
  <c r="AA50" i="1"/>
  <c r="AC50" i="1" s="1"/>
  <c r="AA49" i="1"/>
  <c r="AC49" i="1" s="1"/>
  <c r="AA48" i="1"/>
  <c r="E48" i="1"/>
  <c r="AA47" i="1"/>
  <c r="AC47" i="1" s="1"/>
  <c r="Z47" i="1"/>
  <c r="Y47" i="1"/>
  <c r="W47" i="1"/>
  <c r="V47" i="1"/>
  <c r="AA46" i="1"/>
  <c r="AC46" i="1" s="1"/>
  <c r="E46" i="1"/>
  <c r="AC45" i="1"/>
  <c r="AA45" i="1"/>
  <c r="AB45" i="1" s="1"/>
  <c r="AC44" i="1"/>
  <c r="AA44" i="1"/>
  <c r="AB44" i="1" s="1"/>
  <c r="AC43" i="1"/>
  <c r="AA43" i="1"/>
  <c r="AB43" i="1" s="1"/>
  <c r="AC42" i="1"/>
  <c r="AB42" i="1"/>
  <c r="AA42" i="1"/>
  <c r="AC41" i="1"/>
  <c r="AB41" i="1"/>
  <c r="AA41" i="1"/>
  <c r="X40" i="1"/>
  <c r="W40" i="1"/>
  <c r="V40" i="1"/>
  <c r="X35" i="1"/>
  <c r="W35" i="1"/>
  <c r="X34" i="1"/>
  <c r="W34" i="1"/>
  <c r="X33" i="1"/>
  <c r="W33" i="1"/>
  <c r="X32" i="1"/>
  <c r="W32" i="1"/>
  <c r="V31" i="1"/>
  <c r="X31" i="1" s="1"/>
  <c r="X30" i="1"/>
  <c r="W30" i="1"/>
  <c r="X29" i="1"/>
  <c r="W29" i="1"/>
  <c r="X28" i="1"/>
  <c r="W28" i="1"/>
  <c r="X27" i="1"/>
  <c r="W27" i="1"/>
  <c r="E27" i="1"/>
  <c r="E43" i="1" s="1"/>
  <c r="C47" i="1" s="1"/>
  <c r="E47" i="1" s="1"/>
  <c r="X26" i="1"/>
  <c r="V26" i="1"/>
  <c r="W26" i="1" s="1"/>
  <c r="E26" i="1"/>
  <c r="E113" i="1" s="1"/>
  <c r="C117" i="1" s="1"/>
  <c r="X25" i="1"/>
  <c r="W25" i="1"/>
  <c r="X24" i="1"/>
  <c r="W24" i="1"/>
  <c r="X23" i="1"/>
  <c r="W23" i="1"/>
  <c r="V22" i="1"/>
  <c r="X21" i="1"/>
  <c r="W21" i="1"/>
  <c r="X20" i="1"/>
  <c r="W20" i="1"/>
  <c r="X19" i="1"/>
  <c r="W19" i="1"/>
  <c r="V19" i="1"/>
  <c r="X18" i="1"/>
  <c r="W18" i="1"/>
  <c r="X17" i="1"/>
  <c r="W17" i="1"/>
  <c r="X16" i="1"/>
  <c r="W16" i="1"/>
  <c r="D16" i="1"/>
  <c r="V15" i="1"/>
  <c r="D15" i="1"/>
  <c r="X14" i="1"/>
  <c r="W14" i="1"/>
  <c r="D14" i="1"/>
  <c r="X13" i="1"/>
  <c r="W13" i="1"/>
  <c r="D13" i="1"/>
  <c r="X12" i="1"/>
  <c r="W12" i="1"/>
  <c r="D12" i="1"/>
  <c r="X11" i="1"/>
  <c r="W11" i="1"/>
  <c r="D11" i="1"/>
  <c r="D10" i="1"/>
  <c r="X9" i="1"/>
  <c r="W9" i="1"/>
  <c r="C9" i="1"/>
  <c r="D9" i="1" s="1"/>
  <c r="X8" i="1"/>
  <c r="W8" i="1"/>
  <c r="X7" i="1"/>
  <c r="V7" i="1"/>
  <c r="W7" i="1" s="1"/>
  <c r="D7" i="1"/>
  <c r="C7" i="1"/>
  <c r="X6" i="1"/>
  <c r="V6" i="1"/>
  <c r="W6" i="1" s="1"/>
  <c r="X5" i="1"/>
  <c r="W5" i="1"/>
  <c r="X4" i="1"/>
  <c r="W4" i="1"/>
  <c r="X3" i="1"/>
  <c r="V3" i="1"/>
  <c r="W3" i="1" s="1"/>
  <c r="C3" i="1"/>
  <c r="Y28" i="1" s="1"/>
  <c r="C2" i="1"/>
  <c r="AD58" i="1" s="1"/>
  <c r="G132" i="1" s="1"/>
  <c r="G147" i="1" l="1"/>
  <c r="G129" i="1"/>
  <c r="H129" i="1" s="1"/>
  <c r="Y3" i="1"/>
  <c r="G31" i="1" s="1"/>
  <c r="H31" i="1" s="1"/>
  <c r="Y8" i="1"/>
  <c r="Y35" i="1"/>
  <c r="G150" i="1" s="1"/>
  <c r="AA40" i="1"/>
  <c r="Z40" i="1"/>
  <c r="Y40" i="1"/>
  <c r="AC59" i="1"/>
  <c r="AB59" i="1"/>
  <c r="Y6" i="1"/>
  <c r="X15" i="1"/>
  <c r="W15" i="1"/>
  <c r="Y25" i="1"/>
  <c r="Y31" i="1"/>
  <c r="G130" i="1" s="1"/>
  <c r="H130" i="1" s="1"/>
  <c r="AD47" i="1"/>
  <c r="G90" i="1" s="1"/>
  <c r="AC53" i="1"/>
  <c r="AB53" i="1"/>
  <c r="AD56" i="1"/>
  <c r="G61" i="1" s="1"/>
  <c r="H61" i="1" s="1"/>
  <c r="G95" i="1"/>
  <c r="H95" i="1" s="1"/>
  <c r="G72" i="1"/>
  <c r="H72" i="1" s="1"/>
  <c r="G47" i="1"/>
  <c r="H47" i="1" s="1"/>
  <c r="G117" i="1"/>
  <c r="H117" i="1" s="1"/>
  <c r="G104" i="1"/>
  <c r="G82" i="1"/>
  <c r="H82" i="1" s="1"/>
  <c r="G60" i="1"/>
  <c r="H60" i="1" s="1"/>
  <c r="Y11" i="1"/>
  <c r="Y5" i="1"/>
  <c r="Y9" i="1"/>
  <c r="V10" i="1"/>
  <c r="Y12" i="1"/>
  <c r="G35" i="1" s="1"/>
  <c r="H35" i="1" s="1"/>
  <c r="X22" i="1"/>
  <c r="W22" i="1"/>
  <c r="AD46" i="1"/>
  <c r="G78" i="1" s="1"/>
  <c r="H78" i="1" s="1"/>
  <c r="AD49" i="1"/>
  <c r="AD51" i="1"/>
  <c r="G123" i="1" s="1"/>
  <c r="H123" i="1" s="1"/>
  <c r="H124" i="1" s="1"/>
  <c r="B16" i="1" s="1"/>
  <c r="F16" i="1" s="1"/>
  <c r="Y34" i="1"/>
  <c r="G151" i="1" s="1"/>
  <c r="Y29" i="1"/>
  <c r="G133" i="1" s="1"/>
  <c r="H133" i="1" s="1"/>
  <c r="Y22" i="1"/>
  <c r="G149" i="1" s="1"/>
  <c r="Y21" i="1"/>
  <c r="Y15" i="1"/>
  <c r="G146" i="1" s="1"/>
  <c r="Y33" i="1"/>
  <c r="G140" i="1" s="1"/>
  <c r="H140" i="1" s="1"/>
  <c r="Y30" i="1"/>
  <c r="G131" i="1" s="1"/>
  <c r="H131" i="1" s="1"/>
  <c r="Y23" i="1"/>
  <c r="Y20" i="1"/>
  <c r="Y19" i="1"/>
  <c r="G36" i="1" s="1"/>
  <c r="H36" i="1" s="1"/>
  <c r="Y13" i="1"/>
  <c r="G37" i="1" s="1"/>
  <c r="H37" i="1" s="1"/>
  <c r="Y32" i="1"/>
  <c r="Y27" i="1"/>
  <c r="Y26" i="1"/>
  <c r="Y24" i="1"/>
  <c r="G34" i="1" s="1"/>
  <c r="H34" i="1" s="1"/>
  <c r="Y18" i="1"/>
  <c r="Y17" i="1"/>
  <c r="Y16" i="1"/>
  <c r="Y7" i="1"/>
  <c r="AD59" i="1"/>
  <c r="G165" i="1" s="1"/>
  <c r="H165" i="1" s="1"/>
  <c r="AD57" i="1"/>
  <c r="AD53" i="1"/>
  <c r="G55" i="1" s="1"/>
  <c r="H55" i="1" s="1"/>
  <c r="AD48" i="1"/>
  <c r="G100" i="1" s="1"/>
  <c r="AD54" i="1"/>
  <c r="AD42" i="1"/>
  <c r="G54" i="1" s="1"/>
  <c r="H54" i="1" s="1"/>
  <c r="AD41" i="1"/>
  <c r="G53" i="1" s="1"/>
  <c r="AD40" i="1"/>
  <c r="G43" i="1" s="1"/>
  <c r="H43" i="1" s="1"/>
  <c r="AD55" i="1"/>
  <c r="AD45" i="1"/>
  <c r="AD44" i="1"/>
  <c r="AD43" i="1"/>
  <c r="Y4" i="1"/>
  <c r="Y14" i="1"/>
  <c r="G33" i="1" s="1"/>
  <c r="H33" i="1" s="1"/>
  <c r="AC48" i="1"/>
  <c r="AB48" i="1"/>
  <c r="AC57" i="1"/>
  <c r="AB57" i="1"/>
  <c r="E53" i="1"/>
  <c r="E67" i="1"/>
  <c r="E77" i="1"/>
  <c r="E90" i="1"/>
  <c r="W31" i="1"/>
  <c r="AB46" i="1"/>
  <c r="AB47" i="1"/>
  <c r="AB49" i="1"/>
  <c r="AB50" i="1"/>
  <c r="AB51" i="1"/>
  <c r="AB52" i="1"/>
  <c r="AB56" i="1"/>
  <c r="AB58" i="1"/>
  <c r="E66" i="1"/>
  <c r="E132" i="1"/>
  <c r="H132" i="1" s="1"/>
  <c r="E100" i="1"/>
  <c r="C104" i="1" s="1"/>
  <c r="E104" i="1" s="1"/>
  <c r="H53" i="1" l="1"/>
  <c r="X10" i="1"/>
  <c r="W10" i="1"/>
  <c r="H38" i="1"/>
  <c r="B7" i="1" s="1"/>
  <c r="F7" i="1" s="1"/>
  <c r="G67" i="1"/>
  <c r="H67" i="1" s="1"/>
  <c r="G113" i="1"/>
  <c r="H113" i="1" s="1"/>
  <c r="G115" i="1"/>
  <c r="H115" i="1" s="1"/>
  <c r="G102" i="1"/>
  <c r="H102" i="1" s="1"/>
  <c r="G62" i="1"/>
  <c r="H62" i="1" s="1"/>
  <c r="G73" i="1"/>
  <c r="H73" i="1" s="1"/>
  <c r="G48" i="1"/>
  <c r="H48" i="1" s="1"/>
  <c r="G118" i="1"/>
  <c r="H118" i="1" s="1"/>
  <c r="G83" i="1"/>
  <c r="H83" i="1" s="1"/>
  <c r="G105" i="1"/>
  <c r="H105" i="1" s="1"/>
  <c r="G96" i="1"/>
  <c r="H96" i="1" s="1"/>
  <c r="G159" i="1"/>
  <c r="H159" i="1" s="1"/>
  <c r="H146" i="1"/>
  <c r="H151" i="1"/>
  <c r="G164" i="1"/>
  <c r="H164" i="1" s="1"/>
  <c r="AC40" i="1"/>
  <c r="AB40" i="1"/>
  <c r="G80" i="1"/>
  <c r="H80" i="1" s="1"/>
  <c r="G57" i="1"/>
  <c r="H57" i="1" s="1"/>
  <c r="G69" i="1"/>
  <c r="H69" i="1" s="1"/>
  <c r="G92" i="1"/>
  <c r="H92" i="1" s="1"/>
  <c r="G114" i="1"/>
  <c r="H114" i="1" s="1"/>
  <c r="G101" i="1"/>
  <c r="H101" i="1" s="1"/>
  <c r="G91" i="1"/>
  <c r="H91" i="1" s="1"/>
  <c r="G56" i="1"/>
  <c r="H56" i="1" s="1"/>
  <c r="G152" i="1"/>
  <c r="H152" i="1" s="1"/>
  <c r="G68" i="1"/>
  <c r="H68" i="1" s="1"/>
  <c r="G79" i="1"/>
  <c r="H79" i="1" s="1"/>
  <c r="G139" i="1"/>
  <c r="H139" i="1" s="1"/>
  <c r="G153" i="1"/>
  <c r="H104" i="1"/>
  <c r="G163" i="1"/>
  <c r="H163" i="1" s="1"/>
  <c r="H150" i="1"/>
  <c r="G66" i="1"/>
  <c r="H66" i="1" s="1"/>
  <c r="G77" i="1"/>
  <c r="H77" i="1" s="1"/>
  <c r="G89" i="1"/>
  <c r="H89" i="1" s="1"/>
  <c r="B8" i="1"/>
  <c r="F8" i="1" s="1"/>
  <c r="H100" i="1"/>
  <c r="G128" i="1"/>
  <c r="H128" i="1" s="1"/>
  <c r="H134" i="1" s="1"/>
  <c r="B17" i="1" s="1"/>
  <c r="G138" i="1"/>
  <c r="H138" i="1" s="1"/>
  <c r="H141" i="1" s="1"/>
  <c r="B18" i="1" s="1"/>
  <c r="G145" i="1"/>
  <c r="H149" i="1"/>
  <c r="G162" i="1"/>
  <c r="H162" i="1" s="1"/>
  <c r="G148" i="1"/>
  <c r="G32" i="1"/>
  <c r="H32" i="1" s="1"/>
  <c r="Y10" i="1"/>
  <c r="H90" i="1"/>
  <c r="H147" i="1"/>
  <c r="G160" i="1"/>
  <c r="H160" i="1" s="1"/>
  <c r="G46" i="1" l="1"/>
  <c r="H46" i="1" s="1"/>
  <c r="G94" i="1"/>
  <c r="H94" i="1" s="1"/>
  <c r="G81" i="1"/>
  <c r="H81" i="1" s="1"/>
  <c r="G59" i="1"/>
  <c r="H59" i="1" s="1"/>
  <c r="H63" i="1" s="1"/>
  <c r="B9" i="1" s="1"/>
  <c r="F9" i="1" s="1"/>
  <c r="G116" i="1"/>
  <c r="H116" i="1" s="1"/>
  <c r="H120" i="1" s="1"/>
  <c r="B15" i="1" s="1"/>
  <c r="F15" i="1" s="1"/>
  <c r="G103" i="1"/>
  <c r="H103" i="1" s="1"/>
  <c r="G71" i="1"/>
  <c r="H71" i="1" s="1"/>
  <c r="H106" i="1"/>
  <c r="B13" i="1" s="1"/>
  <c r="F13" i="1" s="1"/>
  <c r="H86" i="1"/>
  <c r="B11" i="1" s="1"/>
  <c r="F11" i="1" s="1"/>
  <c r="H145" i="1"/>
  <c r="G158" i="1"/>
  <c r="H158" i="1" s="1"/>
  <c r="H74" i="1"/>
  <c r="B10" i="1" s="1"/>
  <c r="F10" i="1" s="1"/>
  <c r="H153" i="1"/>
  <c r="G166" i="1"/>
  <c r="H166" i="1" s="1"/>
  <c r="H97" i="1"/>
  <c r="B12" i="1" s="1"/>
  <c r="F12" i="1" s="1"/>
  <c r="H148" i="1"/>
  <c r="G161" i="1"/>
  <c r="H161" i="1" s="1"/>
  <c r="H167" i="1" l="1"/>
  <c r="B20" i="1" s="1"/>
  <c r="H154" i="1"/>
  <c r="B19" i="1" s="1"/>
  <c r="B21" i="1"/>
  <c r="F21" i="1" s="1"/>
  <c r="H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tc={50D8BEE3-92F4-4CC7-B4F1-3E5C2CAF03C5}</author>
    <author>tc={7433A2BB-F24C-4C1F-B4F2-A9F32B4F7EF3}</author>
    <author>tc={2FFD07F9-6A72-442D-982A-C080937F35A1}</author>
  </authors>
  <commentList>
    <comment ref="C47" authorId="0" shapeId="0" xr:uid="{50D8BEE3-92F4-4CC7-B4F1-3E5C2CAF03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final concentration of the diluted solution should be between 1-15 mg/mL</t>
      </text>
    </comment>
    <comment ref="C60" authorId="1" shapeId="0" xr:uid="{7433A2BB-F24C-4C1F-B4F2-A9F32B4F7EF3}">
      <text>
        <t>[Threaded comment]
Your version of Excel allows you to read this threaded comment; however, any edits to it will get removed if the file is opened in a newer version of Excel. Learn more: https://go.microsoft.com/fwlink/?linkid=870924
Comment:
    Paclitaxel 80mg/m2
 in 250ml sodium chloride 0.9% + IV for chlorphenamine &amp; dexamethasone</t>
      </text>
    </comment>
    <comment ref="C61" authorId="2" shapeId="0" xr:uid="{2FFD07F9-6A72-442D-982A-C080937F35A1}">
      <text>
        <t>[Threaded comment]
Your version of Excel allows you to read this threaded comment; however, any edits to it will get removed if the file is opened in a newer version of Excel. Learn more: https://go.microsoft.com/fwlink/?linkid=870924
Comment:
    Carboplatin AUC 2 (maximum dose 300mg) intravenous infusion in 500ml glucose 5%</t>
      </text>
    </comment>
  </commentList>
</comments>
</file>

<file path=xl/sharedStrings.xml><?xml version="1.0" encoding="utf-8"?>
<sst xmlns="http://schemas.openxmlformats.org/spreadsheetml/2006/main" count="464" uniqueCount="166">
  <si>
    <t>Input type</t>
  </si>
  <si>
    <t>Mean</t>
  </si>
  <si>
    <t>Service cost</t>
  </si>
  <si>
    <t xml:space="preserve">Co-payment for drug </t>
  </si>
  <si>
    <t>100% payment</t>
  </si>
  <si>
    <t>80% payment</t>
  </si>
  <si>
    <t>20% payment</t>
  </si>
  <si>
    <t>Live value</t>
  </si>
  <si>
    <t>Ref</t>
  </si>
  <si>
    <t>Co-payment for services</t>
  </si>
  <si>
    <t>Check up</t>
  </si>
  <si>
    <t>Trung bình hạng ĐB và hạng I</t>
  </si>
  <si>
    <t>BV hạng đặc biệt</t>
  </si>
  <si>
    <t>Thông tư 13, BYT</t>
  </si>
  <si>
    <t>Cost summary</t>
  </si>
  <si>
    <t>BV hạng I</t>
  </si>
  <si>
    <t>Item</t>
  </si>
  <si>
    <t>Cost per cycle</t>
  </si>
  <si>
    <t>#day per cycle</t>
  </si>
  <si>
    <t>Maximum duration of treatment (days)</t>
  </si>
  <si>
    <t>% assignment</t>
  </si>
  <si>
    <t>Maximum cost</t>
  </si>
  <si>
    <t>Note</t>
  </si>
  <si>
    <t>Expert check up</t>
  </si>
  <si>
    <t xml:space="preserve">Monitoring </t>
  </si>
  <si>
    <t>Full Bed-day</t>
  </si>
  <si>
    <t>Trung bình hạng đặc biệt và hạng I</t>
  </si>
  <si>
    <t xml:space="preserve">Durvalumab </t>
  </si>
  <si>
    <t>Drug  cost</t>
  </si>
  <si>
    <t>Ngày giường bệnh nội khoa hạng đặc biệt</t>
  </si>
  <si>
    <t>Sub- Paclitaxel + Carboplatin</t>
  </si>
  <si>
    <t>21 days in 6 cycles</t>
  </si>
  <si>
    <r>
      <t>10.1200/JCO.1996.14.7.2054 </t>
    </r>
    <r>
      <rPr>
        <i/>
        <sz val="7"/>
        <color rgb="FF000000"/>
        <rFont val="Noto Sans"/>
        <family val="2"/>
      </rPr>
      <t>Journal of Clinical Oncology</t>
    </r>
    <r>
      <rPr>
        <sz val="7"/>
        <color rgb="FF000000"/>
        <rFont val="Noto Sans"/>
        <family val="2"/>
      </rPr>
      <t> 14, no. 7 (July 01, 1996) 2054-60.</t>
    </r>
  </si>
  <si>
    <t>Ngày giường bệnh nội khoa hạng I</t>
  </si>
  <si>
    <t>Sub - Pemetrexed + Cisplatin</t>
  </si>
  <si>
    <t>21 days in 4 cycles</t>
  </si>
  <si>
    <t>Protocol NHS: https://www.uhs.nhs.uk/Media/UHS-website-2019/Docs/Chemotherapy-SOPs1/Lung-cancer-non-small-cellNSCLC/CisplatinandPemetrexedver12.pdf</t>
  </si>
  <si>
    <t>Daytime bed-day</t>
  </si>
  <si>
    <t>Bằng 0.3 giá giường nội trú, Thông tư 13</t>
  </si>
  <si>
    <t>Sub - Cisplatin + Etoposide</t>
  </si>
  <si>
    <t>21 days in 3-6 cycles</t>
  </si>
  <si>
    <t>Protocol NHS: https://www.uhs.nhs.uk/Media/UHS-website-2019/Docs/Chemotherapy-SOPs1/Lung-cancer-small-cellSCLC/Cisplatin-Etoposideintravenous.pdf</t>
  </si>
  <si>
    <t xml:space="preserve">X-ray - 2 positions </t>
  </si>
  <si>
    <t>Tính tổng các dịch vụ</t>
  </si>
  <si>
    <t>Sub - Cisplatin + Vinblastine</t>
  </si>
  <si>
    <t>28 days in 4 cycles</t>
  </si>
  <si>
    <t>https://doi.org/10.1007/bf00685511</t>
  </si>
  <si>
    <t>ECG</t>
  </si>
  <si>
    <t>Sub - Docetaxel</t>
  </si>
  <si>
    <t>Protocol NHS: https://www.uhs.nhs.uk/Media/UHS-website-2019/Docs/Chemotherapy-SOPs1/Lung-cancer-non-small-cellNSCLC/Docetaxelver12.pdf</t>
  </si>
  <si>
    <t>Thyroid test</t>
  </si>
  <si>
    <t>Sub - Erlotinib</t>
  </si>
  <si>
    <t>Continous oral taken</t>
  </si>
  <si>
    <t>https://www.uhs.nhs.uk/Media/UHS-website-2019/Docs/Chemotherapy-SOPs1/Lung-cancer-non-small-cellNSCLC/Erlotinibver12.pdf</t>
  </si>
  <si>
    <t>uCEA test</t>
  </si>
  <si>
    <t>Sub - Pemetrexed</t>
  </si>
  <si>
    <t>https://www.uhs.nhs.uk/Media/UHS-website-2019/Docs/Chemotherapy-SOPs1/Lung-cancer-non-small-cellNSCLC/Pemetrexedmaintenancever11.pdf</t>
  </si>
  <si>
    <t>Xét nghiệm chức năng gan</t>
  </si>
  <si>
    <t>Sub - Afatinib</t>
  </si>
  <si>
    <t>28 days in 12 cycles</t>
  </si>
  <si>
    <t>https://www.uhs.nhs.uk/Media/UHS-website-2019/Docs/Chemotherapy-SOPs1/Lung-cancer-non-small-cellNSCLC/AfatinibVer1.pdf</t>
  </si>
  <si>
    <t>Định lượng enzyme GPT (ALT)</t>
  </si>
  <si>
    <t>AE - Anaemia</t>
  </si>
  <si>
    <t>Định lượng bilirubin toàn phần</t>
  </si>
  <si>
    <t>AE - Dyspnoea</t>
  </si>
  <si>
    <t>Định lượng bilirubin trực tiếp</t>
  </si>
  <si>
    <t>AE - Pneumonia</t>
  </si>
  <si>
    <t>Sinh hóa máu trong theo dõi sau điều trị</t>
  </si>
  <si>
    <t>AE - Pneumonitis</t>
  </si>
  <si>
    <t>LDH</t>
  </si>
  <si>
    <t>Administration for durvalumab</t>
  </si>
  <si>
    <t>Administration cost</t>
  </si>
  <si>
    <t>Beta 2 Microglobulin</t>
  </si>
  <si>
    <t>Chụp CT</t>
  </si>
  <si>
    <t>Sử dụng 32 dãy</t>
  </si>
  <si>
    <t>Chụp CT Scanner đến 32 dãy có thuốc cản quang</t>
  </si>
  <si>
    <t>Chụp CT Scanner 64 dãy đến 128 dãy có thuốc cản quang</t>
  </si>
  <si>
    <t>Chụp CT Scanner từ 256 dãy trở lên có thuốc cản quang</t>
  </si>
  <si>
    <t>BSA</t>
  </si>
  <si>
    <t>Chụp PET/CT</t>
  </si>
  <si>
    <t>Kg</t>
  </si>
  <si>
    <t>Truyền tĩnh mạch ngoại trú</t>
  </si>
  <si>
    <t>Tổng phân tích tế bào máu ngoại vị, bằng hệ thống tự động</t>
  </si>
  <si>
    <t>Thông tư 39, BYT</t>
  </si>
  <si>
    <t>Monitoring cost per cycle (1 month)</t>
  </si>
  <si>
    <t>Khối hồng cầu từ 350 ml máu toàn phần</t>
  </si>
  <si>
    <t>Thông tư 17/2020/TT-BYT</t>
  </si>
  <si>
    <t>Source</t>
  </si>
  <si>
    <t>Service</t>
  </si>
  <si>
    <t>Cycle</t>
  </si>
  <si>
    <t>Quant</t>
  </si>
  <si>
    <t>Cost/ service</t>
  </si>
  <si>
    <t>Total cost</t>
  </si>
  <si>
    <t>Khối tiểu cầu 1 đơn vị (từ 250 ml máu toàn phần)</t>
  </si>
  <si>
    <t>HCP</t>
  </si>
  <si>
    <t>APTT, PT, TT, fibrinogen test</t>
  </si>
  <si>
    <t>Chest xray</t>
  </si>
  <si>
    <t xml:space="preserve">
Ventilator - 1 day</t>
  </si>
  <si>
    <t>CEA, Cyfra 21-1 test</t>
  </si>
  <si>
    <t>Tracheostomy</t>
  </si>
  <si>
    <t>CT scan 64</t>
  </si>
  <si>
    <t>AFB trực tiếp nhuộm huỳnh quang</t>
  </si>
  <si>
    <t>Ure/Creatinin niêuk</t>
  </si>
  <si>
    <t>Blood tests</t>
  </si>
  <si>
    <t>Options</t>
  </si>
  <si>
    <t>Drug cost per mg (dong)</t>
  </si>
  <si>
    <t>Min</t>
  </si>
  <si>
    <t>Max</t>
  </si>
  <si>
    <t>95% CI Lower bound</t>
  </si>
  <si>
    <t>95% CI Upper bound</t>
  </si>
  <si>
    <t>Live</t>
  </si>
  <si>
    <t>95%CI Lower</t>
  </si>
  <si>
    <t>Chemotherapy per cycle</t>
  </si>
  <si>
    <t>Durvalumab</t>
  </si>
  <si>
    <t>95%CI Upper</t>
  </si>
  <si>
    <t>Paclitaxel</t>
  </si>
  <si>
    <t>Dose (mg)</t>
  </si>
  <si>
    <t>Dosing type</t>
  </si>
  <si>
    <t>Dose required</t>
  </si>
  <si>
    <t>Carboplatin</t>
  </si>
  <si>
    <t>Targted treatment</t>
  </si>
  <si>
    <t>Gemcitabine</t>
  </si>
  <si>
    <t>Supportive drugs</t>
  </si>
  <si>
    <t>Cisplatin</t>
  </si>
  <si>
    <t>Pemetrexed</t>
  </si>
  <si>
    <t>Administration</t>
  </si>
  <si>
    <t>Fixed</t>
  </si>
  <si>
    <t>Etoposide</t>
  </si>
  <si>
    <t>NaCl 0.9%</t>
  </si>
  <si>
    <t>Vinblastine</t>
  </si>
  <si>
    <t xml:space="preserve">IV infusion </t>
  </si>
  <si>
    <t>Docetaxel</t>
  </si>
  <si>
    <t>Vinorelbine</t>
  </si>
  <si>
    <t>Subsequent treatment per cycle</t>
  </si>
  <si>
    <t>Erlotinib</t>
  </si>
  <si>
    <t>Paclitaxel + Carboplatin</t>
  </si>
  <si>
    <t>Afatinib</t>
  </si>
  <si>
    <t>Chlorphenamine</t>
  </si>
  <si>
    <t>AUC-6</t>
  </si>
  <si>
    <t>Dexamethasone</t>
  </si>
  <si>
    <t>Ondansetron</t>
  </si>
  <si>
    <t>Glucose 5%</t>
  </si>
  <si>
    <t>Metoclopramide</t>
  </si>
  <si>
    <t>Erythropoietin</t>
  </si>
  <si>
    <t>Prednisone</t>
  </si>
  <si>
    <t>Pemetrexed + Cisplatin</t>
  </si>
  <si>
    <t>Cisplatin + Etoposide</t>
  </si>
  <si>
    <t>Cisplatin + Vinblastine</t>
  </si>
  <si>
    <t>https://www.uhs.nhs.uk/Media/UHS-website-2019/Docs/Chemotherapy-SOPs1/Lung-cancer-non-small-cellNSCLC/Docetaxelver12.pdf</t>
  </si>
  <si>
    <t>Erotinib</t>
  </si>
  <si>
    <t>Adverse events</t>
  </si>
  <si>
    <t>Anemia</t>
  </si>
  <si>
    <t>Dose (UI)</t>
  </si>
  <si>
    <t>Platelet transfusion (1 IU)</t>
  </si>
  <si>
    <t>(150 IU/kg 3 times wkly)</t>
  </si>
  <si>
    <t>RBC tranfusion (1 IU)</t>
  </si>
  <si>
    <t>Dyspnoea</t>
  </si>
  <si>
    <t>Ventilator</t>
  </si>
  <si>
    <t>Pneumonia</t>
  </si>
  <si>
    <t>Liver function tests (GOT, GPT,etc)</t>
  </si>
  <si>
    <t>Xray lung</t>
  </si>
  <si>
    <t>CT scan</t>
  </si>
  <si>
    <t>Creatinin test</t>
  </si>
  <si>
    <t>AFB - Acid Fast Bacillus</t>
  </si>
  <si>
    <t>Pneumonitis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</si>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</sst>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VND]\ #,##0"/>
    <numFmt numFmtId="165" formatCode="_(* #,##0_);_(* \(#,##0\);_(* &quot;-&quot;??_);_(@_)"/>
    <numFmt numFmtId="166" formatCode="[$VND]\ #,##0.00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7"/>
      <color rgb="FF000000"/>
      <name val="Noto Sans"/>
      <family val="2"/>
    </font>
    <font>
      <sz val="7"/>
      <color rgb="FF000000"/>
      <name val="Noto Sans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i/>
      <sz val="11"/>
      <color rgb="FFFF0000"/>
      <name val="Calibri"/>
      <family val="2"/>
    </font>
    <font>
      <i/>
      <u/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1EAEA"/>
        <bgColor rgb="FFE1EAEA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BDD6EE"/>
        <bgColor rgb="FFBDD6EE"/>
      </patternFill>
    </fill>
    <fill>
      <patternFill patternType="solid">
        <fgColor rgb="FFE8D7CC"/>
        <bgColor rgb="FFE8D7CC"/>
      </patternFill>
    </fill>
    <fill>
      <patternFill patternType="solid">
        <fgColor rgb="FFA8D08D"/>
        <bgColor rgb="FFA8D08D"/>
      </patternFill>
    </fill>
    <fill>
      <patternFill patternType="solid">
        <fgColor theme="8"/>
        <bgColor rgb="FFA8D08D"/>
      </patternFill>
    </fill>
    <fill>
      <patternFill patternType="solid">
        <fgColor rgb="FFFFCCCC"/>
        <bgColor rgb="FFFFCCCC"/>
      </patternFill>
    </fill>
    <fill>
      <patternFill patternType="solid">
        <fgColor theme="0"/>
        <bgColor rgb="FFFFCCCC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D6DCE4"/>
      </patternFill>
    </fill>
    <fill>
      <patternFill patternType="solid">
        <fgColor theme="7"/>
        <bgColor theme="0"/>
      </patternFill>
    </fill>
    <fill>
      <patternFill patternType="solid">
        <fgColor theme="7"/>
        <bgColor rgb="FFD6DCE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4" fillId="2" borderId="0" xfId="0" applyFont="1" applyFill="1"/>
    <xf numFmtId="0" fontId="4" fillId="3" borderId="1" xfId="0" applyFont="1" applyFill="1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/>
    <xf numFmtId="0" fontId="0" fillId="5" borderId="0" xfId="0" applyFill="1"/>
    <xf numFmtId="9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6" fillId="4" borderId="1" xfId="0" applyFont="1" applyFill="1" applyBorder="1"/>
    <xf numFmtId="43" fontId="6" fillId="4" borderId="0" xfId="0" applyNumberFormat="1" applyFont="1" applyFill="1"/>
    <xf numFmtId="0" fontId="5" fillId="4" borderId="1" xfId="0" applyFont="1" applyFill="1" applyBorder="1" applyAlignment="1">
      <alignment horizontal="left" indent="2"/>
    </xf>
    <xf numFmtId="164" fontId="5" fillId="4" borderId="1" xfId="0" applyNumberFormat="1" applyFont="1" applyFill="1" applyBorder="1" applyAlignment="1">
      <alignment vertical="center"/>
    </xf>
    <xf numFmtId="0" fontId="9" fillId="4" borderId="0" xfId="0" applyFont="1" applyFill="1"/>
    <xf numFmtId="0" fontId="4" fillId="7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8" borderId="1" xfId="0" applyFont="1" applyFill="1" applyBorder="1"/>
    <xf numFmtId="164" fontId="5" fillId="8" borderId="1" xfId="0" applyNumberFormat="1" applyFont="1" applyFill="1" applyBorder="1" applyAlignment="1">
      <alignment horizontal="right"/>
    </xf>
    <xf numFmtId="1" fontId="5" fillId="8" borderId="1" xfId="0" applyNumberFormat="1" applyFont="1" applyFill="1" applyBorder="1"/>
    <xf numFmtId="165" fontId="5" fillId="8" borderId="1" xfId="1" applyNumberFormat="1" applyFont="1" applyFill="1" applyBorder="1" applyAlignment="1">
      <alignment horizontal="right"/>
    </xf>
    <xf numFmtId="9" fontId="5" fillId="8" borderId="1" xfId="2" applyFont="1" applyFill="1" applyBorder="1"/>
    <xf numFmtId="0" fontId="5" fillId="9" borderId="1" xfId="0" applyFont="1" applyFill="1" applyBorder="1"/>
    <xf numFmtId="164" fontId="5" fillId="9" borderId="1" xfId="0" applyNumberFormat="1" applyFont="1" applyFill="1" applyBorder="1" applyAlignment="1">
      <alignment horizontal="right"/>
    </xf>
    <xf numFmtId="165" fontId="5" fillId="9" borderId="1" xfId="1" applyNumberFormat="1" applyFont="1" applyFill="1" applyBorder="1"/>
    <xf numFmtId="9" fontId="5" fillId="9" borderId="1" xfId="2" applyFont="1" applyFill="1" applyBorder="1"/>
    <xf numFmtId="166" fontId="5" fillId="4" borderId="0" xfId="0" applyNumberFormat="1" applyFont="1" applyFill="1"/>
    <xf numFmtId="0" fontId="5" fillId="10" borderId="1" xfId="0" applyFont="1" applyFill="1" applyBorder="1"/>
    <xf numFmtId="164" fontId="5" fillId="10" borderId="1" xfId="0" applyNumberFormat="1" applyFont="1" applyFill="1" applyBorder="1" applyAlignment="1">
      <alignment horizontal="right"/>
    </xf>
    <xf numFmtId="165" fontId="5" fillId="10" borderId="1" xfId="1" applyNumberFormat="1" applyFont="1" applyFill="1" applyBorder="1"/>
    <xf numFmtId="9" fontId="5" fillId="10" borderId="1" xfId="2" applyFont="1" applyFill="1" applyBorder="1"/>
    <xf numFmtId="165" fontId="5" fillId="10" borderId="1" xfId="1" applyNumberFormat="1" applyFont="1" applyFill="1" applyBorder="1" applyAlignment="1">
      <alignment horizontal="right"/>
    </xf>
    <xf numFmtId="9" fontId="5" fillId="10" borderId="1" xfId="2" applyFont="1" applyFill="1" applyBorder="1" applyAlignment="1">
      <alignment horizontal="right"/>
    </xf>
    <xf numFmtId="165" fontId="6" fillId="10" borderId="1" xfId="1" applyNumberFormat="1" applyFont="1" applyFill="1" applyBorder="1" applyAlignment="1">
      <alignment horizontal="left"/>
    </xf>
    <xf numFmtId="9" fontId="6" fillId="10" borderId="1" xfId="2" applyFont="1" applyFill="1" applyBorder="1" applyAlignment="1">
      <alignment horizontal="right"/>
    </xf>
    <xf numFmtId="0" fontId="6" fillId="10" borderId="1" xfId="0" applyFont="1" applyFill="1" applyBorder="1" applyAlignment="1">
      <alignment horizontal="left"/>
    </xf>
    <xf numFmtId="0" fontId="5" fillId="11" borderId="1" xfId="0" applyFont="1" applyFill="1" applyBorder="1"/>
    <xf numFmtId="164" fontId="5" fillId="11" borderId="1" xfId="0" applyNumberFormat="1" applyFont="1" applyFill="1" applyBorder="1" applyAlignment="1">
      <alignment horizontal="right"/>
    </xf>
    <xf numFmtId="165" fontId="5" fillId="11" borderId="1" xfId="1" applyNumberFormat="1" applyFont="1" applyFill="1" applyBorder="1"/>
    <xf numFmtId="9" fontId="5" fillId="11" borderId="1" xfId="2" applyFont="1" applyFill="1" applyBorder="1"/>
    <xf numFmtId="0" fontId="5" fillId="11" borderId="2" xfId="0" applyFont="1" applyFill="1" applyBorder="1"/>
    <xf numFmtId="164" fontId="5" fillId="11" borderId="2" xfId="0" applyNumberFormat="1" applyFont="1" applyFill="1" applyBorder="1" applyAlignment="1">
      <alignment horizontal="right"/>
    </xf>
    <xf numFmtId="165" fontId="5" fillId="11" borderId="2" xfId="1" applyNumberFormat="1" applyFont="1" applyFill="1" applyBorder="1"/>
    <xf numFmtId="9" fontId="5" fillId="11" borderId="2" xfId="2" applyFont="1" applyFill="1" applyBorder="1"/>
    <xf numFmtId="0" fontId="5" fillId="12" borderId="0" xfId="0" applyFont="1" applyFill="1"/>
    <xf numFmtId="164" fontId="5" fillId="12" borderId="0" xfId="0" applyNumberFormat="1" applyFont="1" applyFill="1" applyAlignment="1">
      <alignment horizontal="right"/>
    </xf>
    <xf numFmtId="165" fontId="5" fillId="12" borderId="0" xfId="1" applyNumberFormat="1" applyFont="1" applyFill="1" applyBorder="1"/>
    <xf numFmtId="9" fontId="5" fillId="12" borderId="0" xfId="2" applyFont="1" applyFill="1" applyBorder="1"/>
    <xf numFmtId="0" fontId="5" fillId="13" borderId="0" xfId="0" applyFont="1" applyFill="1"/>
    <xf numFmtId="164" fontId="5" fillId="13" borderId="0" xfId="0" applyNumberFormat="1" applyFont="1" applyFill="1" applyAlignment="1">
      <alignment horizontal="right"/>
    </xf>
    <xf numFmtId="165" fontId="5" fillId="13" borderId="0" xfId="1" applyNumberFormat="1" applyFont="1" applyFill="1" applyBorder="1"/>
    <xf numFmtId="9" fontId="5" fillId="13" borderId="0" xfId="2" applyFont="1" applyFill="1" applyBorder="1"/>
    <xf numFmtId="2" fontId="5" fillId="4" borderId="0" xfId="0" applyNumberFormat="1" applyFont="1" applyFill="1"/>
    <xf numFmtId="0" fontId="4" fillId="4" borderId="1" xfId="0" applyFont="1" applyFill="1" applyBorder="1" applyAlignment="1">
      <alignment wrapText="1"/>
    </xf>
    <xf numFmtId="0" fontId="12" fillId="4" borderId="3" xfId="0" applyFont="1" applyFill="1" applyBorder="1" applyAlignment="1">
      <alignment vertical="center"/>
    </xf>
    <xf numFmtId="0" fontId="5" fillId="4" borderId="4" xfId="0" applyFont="1" applyFill="1" applyBorder="1"/>
    <xf numFmtId="0" fontId="5" fillId="4" borderId="5" xfId="0" applyFont="1" applyFill="1" applyBorder="1"/>
    <xf numFmtId="0" fontId="4" fillId="4" borderId="4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6" xfId="0" applyFont="1" applyFill="1" applyBorder="1"/>
    <xf numFmtId="164" fontId="5" fillId="4" borderId="0" xfId="0" applyNumberFormat="1" applyFont="1" applyFill="1"/>
    <xf numFmtId="164" fontId="5" fillId="4" borderId="7" xfId="0" applyNumberFormat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164" fontId="5" fillId="4" borderId="0" xfId="0" applyNumberFormat="1" applyFont="1" applyFill="1" applyAlignment="1">
      <alignment vertical="center"/>
    </xf>
    <xf numFmtId="164" fontId="6" fillId="4" borderId="0" xfId="0" applyNumberFormat="1" applyFont="1" applyFill="1"/>
    <xf numFmtId="9" fontId="5" fillId="4" borderId="0" xfId="0" applyNumberFormat="1" applyFont="1" applyFill="1"/>
    <xf numFmtId="43" fontId="5" fillId="4" borderId="0" xfId="0" applyNumberFormat="1" applyFont="1" applyFill="1"/>
    <xf numFmtId="0" fontId="5" fillId="4" borderId="8" xfId="0" applyFont="1" applyFill="1" applyBorder="1"/>
    <xf numFmtId="164" fontId="4" fillId="6" borderId="9" xfId="0" applyNumberFormat="1" applyFont="1" applyFill="1" applyBorder="1"/>
    <xf numFmtId="165" fontId="5" fillId="4" borderId="0" xfId="1" applyNumberFormat="1" applyFont="1" applyFill="1"/>
    <xf numFmtId="0" fontId="5" fillId="15" borderId="0" xfId="0" applyFont="1" applyFill="1"/>
    <xf numFmtId="0" fontId="4" fillId="4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7" fillId="4" borderId="3" xfId="0" applyFont="1" applyFill="1" applyBorder="1"/>
    <xf numFmtId="0" fontId="5" fillId="4" borderId="1" xfId="0" applyFont="1" applyFill="1" applyBorder="1"/>
    <xf numFmtId="43" fontId="5" fillId="0" borderId="1" xfId="0" applyNumberFormat="1" applyFont="1" applyBorder="1"/>
    <xf numFmtId="165" fontId="6" fillId="6" borderId="1" xfId="0" applyNumberFormat="1" applyFont="1" applyFill="1" applyBorder="1"/>
    <xf numFmtId="165" fontId="5" fillId="6" borderId="1" xfId="0" applyNumberFormat="1" applyFont="1" applyFill="1" applyBorder="1"/>
    <xf numFmtId="165" fontId="5" fillId="16" borderId="1" xfId="0" applyNumberFormat="1" applyFont="1" applyFill="1" applyBorder="1"/>
    <xf numFmtId="0" fontId="5" fillId="4" borderId="3" xfId="0" applyFont="1" applyFill="1" applyBorder="1"/>
    <xf numFmtId="0" fontId="13" fillId="4" borderId="4" xfId="0" applyFont="1" applyFill="1" applyBorder="1" applyAlignment="1">
      <alignment vertical="center"/>
    </xf>
    <xf numFmtId="0" fontId="5" fillId="4" borderId="6" xfId="0" applyFont="1" applyFill="1" applyBorder="1"/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14" fillId="4" borderId="0" xfId="0" applyFont="1" applyFill="1"/>
    <xf numFmtId="1" fontId="5" fillId="4" borderId="0" xfId="0" applyNumberFormat="1" applyFont="1" applyFill="1"/>
    <xf numFmtId="4" fontId="5" fillId="4" borderId="0" xfId="0" applyNumberFormat="1" applyFont="1" applyFill="1"/>
    <xf numFmtId="0" fontId="9" fillId="15" borderId="0" xfId="0" applyFont="1" applyFill="1"/>
    <xf numFmtId="165" fontId="5" fillId="4" borderId="0" xfId="1" applyNumberFormat="1" applyFont="1" applyFill="1" applyAlignment="1">
      <alignment horizontal="right"/>
    </xf>
    <xf numFmtId="165" fontId="5" fillId="0" borderId="1" xfId="0" applyNumberFormat="1" applyFont="1" applyBorder="1"/>
    <xf numFmtId="43" fontId="6" fillId="6" borderId="1" xfId="0" applyNumberFormat="1" applyFont="1" applyFill="1" applyBorder="1"/>
    <xf numFmtId="43" fontId="5" fillId="6" borderId="1" xfId="0" applyNumberFormat="1" applyFont="1" applyFill="1" applyBorder="1"/>
    <xf numFmtId="43" fontId="5" fillId="16" borderId="1" xfId="0" applyNumberFormat="1" applyFont="1" applyFill="1" applyBorder="1"/>
    <xf numFmtId="43" fontId="5" fillId="4" borderId="0" xfId="1" applyFont="1" applyFill="1" applyAlignment="1">
      <alignment horizontal="right"/>
    </xf>
    <xf numFmtId="0" fontId="8" fillId="4" borderId="0" xfId="0" applyFont="1" applyFill="1"/>
    <xf numFmtId="0" fontId="2" fillId="5" borderId="0" xfId="0" applyFont="1" applyFill="1"/>
    <xf numFmtId="0" fontId="2" fillId="0" borderId="0" xfId="0" applyFont="1"/>
    <xf numFmtId="0" fontId="5" fillId="5" borderId="0" xfId="0" applyFont="1" applyFill="1"/>
    <xf numFmtId="43" fontId="4" fillId="0" borderId="1" xfId="0" applyNumberFormat="1" applyFont="1" applyBorder="1"/>
    <xf numFmtId="43" fontId="8" fillId="6" borderId="1" xfId="0" applyNumberFormat="1" applyFont="1" applyFill="1" applyBorder="1"/>
    <xf numFmtId="43" fontId="4" fillId="6" borderId="1" xfId="0" applyNumberFormat="1" applyFont="1" applyFill="1" applyBorder="1"/>
    <xf numFmtId="43" fontId="4" fillId="16" borderId="1" xfId="0" applyNumberFormat="1" applyFont="1" applyFill="1" applyBorder="1"/>
    <xf numFmtId="0" fontId="5" fillId="15" borderId="1" xfId="0" applyFont="1" applyFill="1" applyBorder="1"/>
    <xf numFmtId="0" fontId="15" fillId="0" borderId="0" xfId="0" applyFont="1"/>
    <xf numFmtId="165" fontId="5" fillId="4" borderId="0" xfId="0" applyNumberFormat="1" applyFont="1" applyFill="1"/>
    <xf numFmtId="0" fontId="3" fillId="4" borderId="0" xfId="3" applyFill="1"/>
    <xf numFmtId="0" fontId="4" fillId="4" borderId="10" xfId="0" applyFont="1" applyFill="1" applyBorder="1"/>
    <xf numFmtId="164" fontId="4" fillId="4" borderId="0" xfId="0" applyNumberFormat="1" applyFont="1" applyFill="1" applyAlignment="1">
      <alignment horizontal="right"/>
    </xf>
    <xf numFmtId="0" fontId="5" fillId="4" borderId="11" xfId="0" applyFont="1" applyFill="1" applyBorder="1"/>
    <xf numFmtId="0" fontId="5" fillId="4" borderId="10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0" fontId="4" fillId="4" borderId="14" xfId="0" applyFont="1" applyFill="1" applyBorder="1" applyAlignment="1">
      <alignment horizontal="right"/>
    </xf>
    <xf numFmtId="0" fontId="4" fillId="4" borderId="13" xfId="0" applyFont="1" applyFill="1" applyBorder="1"/>
    <xf numFmtId="165" fontId="5" fillId="4" borderId="0" xfId="1" applyNumberFormat="1" applyFont="1" applyFill="1" applyBorder="1" applyAlignment="1">
      <alignment horizontal="right"/>
    </xf>
    <xf numFmtId="164" fontId="5" fillId="4" borderId="15" xfId="0" applyNumberFormat="1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vu0012_ad_umu_se/Documents/EQ5L%20study/paper%203-%20CEA/AZ/CUA%20model/0.%20Health%20insurance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trol"/>
      <sheetName val="BC analysis"/>
      <sheetName val="OWSA"/>
      <sheetName val="PSA"/>
      <sheetName val="Parameters"/>
      <sheetName val="List"/>
      <sheetName val="Cost"/>
      <sheetName val="Utility"/>
      <sheetName val="AE"/>
      <sheetName val="Durvalumab trace"/>
      <sheetName val="Placebo trace"/>
      <sheetName val="Patient OOP"/>
      <sheetName val="Final Survival"/>
      <sheetName val="OS-durva"/>
      <sheetName val="OS- Soc"/>
      <sheetName val="PFS-Durva"/>
      <sheetName val="PFS-SOC"/>
      <sheetName val="survival data"/>
      <sheetName val="Life table"/>
    </sheetNames>
    <sheetDataSet>
      <sheetData sheetId="0"/>
      <sheetData sheetId="1">
        <row r="22">
          <cell r="D22">
            <v>1.6058288552027391</v>
          </cell>
        </row>
        <row r="24">
          <cell r="D24">
            <v>56.962499999999999</v>
          </cell>
        </row>
        <row r="57">
          <cell r="D57">
            <v>1</v>
          </cell>
        </row>
      </sheetData>
      <sheetData sheetId="2"/>
      <sheetData sheetId="3"/>
      <sheetData sheetId="4"/>
      <sheetData sheetId="5">
        <row r="6">
          <cell r="D6">
            <v>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i Vu Thi Quynh" id="{CC4FF4FC-D07A-4A31-A58E-C344AD394AAA}" userId="Mai Vu Thi Quynh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7" dT="2022-11-14T07:27:06.91" personId="{CC4FF4FC-D07A-4A31-A58E-C344AD394AAA}" id="{50D8BEE3-92F4-4CC7-B4F1-3E5C2CAF03C5}">
    <text>The final concentration of the diluted solution should be between 1-15 mg/mL</text>
  </threadedComment>
  <threadedComment ref="C60" dT="2022-11-14T09:00:02.47" personId="{CC4FF4FC-D07A-4A31-A58E-C344AD394AAA}" id="{7433A2BB-F24C-4C1F-B4F2-A9F32B4F7EF3}">
    <text>Paclitaxel 80mg/m2
 in 250ml sodium chloride 0.9% + IV for chlorphenamine &amp; dexamethasone</text>
  </threadedComment>
  <threadedComment ref="C61" dT="2022-11-14T09:00:30.85" personId="{CC4FF4FC-D07A-4A31-A58E-C344AD394AAA}" id="{2FFD07F9-6A72-442D-982A-C080937F35A1}">
    <text>Carboplatin AUC 2 (maximum dose 300mg) intravenous infusion in 500ml glucose 5%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uhs.nhs.uk/Media/UHS-website-2019/Docs/Chemotherapy-SOPs1/Lung-cancer-non-small-cellNSCLC/Docetaxelver12.pdf" TargetMode="Externa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FE579-11F4-4FC2-AF04-891232258491}">
  <dimension ref="A1:BG549"/>
  <sheetViews>
    <sheetView tabSelected="1" workbookViewId="0">
      <selection activeCell="D14" sqref="D14"/>
    </sheetView>
  </sheetViews>
  <sheetFormatPr defaultColWidth="12.6640625" defaultRowHeight="15.5" x14ac:dyDescent="0.35"/>
  <cols>
    <col min="1" max="1" width="25.9140625" customWidth="1"/>
    <col min="2" max="2" width="18.4140625" customWidth="1"/>
    <col min="3" max="3" width="16.6640625" customWidth="1"/>
    <col min="4" max="4" width="18.4140625" customWidth="1"/>
    <col min="5" max="5" width="14" customWidth="1"/>
    <col min="6" max="6" width="15.58203125" customWidth="1"/>
    <col min="7" max="7" width="28.4140625" customWidth="1"/>
    <col min="8" max="8" width="17.75" customWidth="1"/>
    <col min="9" max="9" width="39.75" style="6" customWidth="1"/>
    <col min="10" max="10" width="14.25" customWidth="1"/>
    <col min="11" max="11" width="15.25" customWidth="1"/>
    <col min="12" max="12" width="13.5" customWidth="1"/>
    <col min="13" max="13" width="15.5" customWidth="1"/>
    <col min="14" max="15" width="7.75" customWidth="1"/>
    <col min="17" max="20" width="7.75" customWidth="1"/>
    <col min="21" max="21" width="48.25" customWidth="1"/>
    <col min="22" max="24" width="15" customWidth="1"/>
    <col min="25" max="25" width="27.1640625" customWidth="1"/>
    <col min="26" max="29" width="15" customWidth="1"/>
    <col min="30" max="30" width="11.25" customWidth="1"/>
    <col min="31" max="31" width="11.5" customWidth="1"/>
    <col min="32" max="33" width="7.75" customWidth="1"/>
    <col min="34" max="36" width="7.75" style="6" customWidth="1"/>
    <col min="37" max="59" width="12.6640625" style="6"/>
  </cols>
  <sheetData>
    <row r="1" spans="1:59" ht="14.25" customHeight="1" x14ac:dyDescent="0.5">
      <c r="A1" s="1" t="s">
        <v>0</v>
      </c>
      <c r="B1" s="1"/>
      <c r="C1" s="2" t="s">
        <v>1</v>
      </c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" t="s">
        <v>2</v>
      </c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</row>
    <row r="2" spans="1:59" ht="14.25" customHeight="1" x14ac:dyDescent="0.35">
      <c r="A2" s="1" t="s">
        <v>3</v>
      </c>
      <c r="B2" s="1"/>
      <c r="C2" s="7">
        <f>copay</f>
        <v>1</v>
      </c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"/>
      <c r="V2" s="9" t="s">
        <v>4</v>
      </c>
      <c r="W2" s="10" t="s">
        <v>5</v>
      </c>
      <c r="X2" s="10" t="s">
        <v>6</v>
      </c>
      <c r="Y2" s="11" t="s">
        <v>7</v>
      </c>
      <c r="Z2" s="8" t="s">
        <v>8</v>
      </c>
      <c r="AB2" s="4"/>
      <c r="AC2" s="3"/>
      <c r="AD2" s="3"/>
      <c r="AE2" s="3"/>
      <c r="AF2" s="3"/>
      <c r="AG2" s="3"/>
      <c r="AH2" s="3"/>
      <c r="AI2" s="3"/>
      <c r="AJ2" s="3"/>
    </row>
    <row r="3" spans="1:59" ht="14.25" customHeight="1" x14ac:dyDescent="0.35">
      <c r="A3" s="1" t="s">
        <v>9</v>
      </c>
      <c r="B3" s="1"/>
      <c r="C3" s="7">
        <f>C2</f>
        <v>1</v>
      </c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2" t="s">
        <v>10</v>
      </c>
      <c r="V3" s="13">
        <f>AVERAGE(V4:V5)</f>
        <v>38700</v>
      </c>
      <c r="W3" s="13">
        <f>IF(V3="","",V3*0.8)</f>
        <v>30960</v>
      </c>
      <c r="X3" s="13">
        <f>IF(V3="","",V3*0.2)</f>
        <v>7740</v>
      </c>
      <c r="Y3" s="14">
        <f>CHOOSE(MATCH($C$3,$AI$36:$AI$37,0),W3,V3)</f>
        <v>38700</v>
      </c>
      <c r="Z3" s="15" t="s">
        <v>11</v>
      </c>
      <c r="AB3" s="4"/>
      <c r="AC3" s="3"/>
      <c r="AD3" s="3"/>
      <c r="AE3" s="3"/>
      <c r="AF3" s="3"/>
      <c r="AG3" s="3"/>
      <c r="AH3" s="3"/>
      <c r="AI3" s="3"/>
      <c r="AJ3" s="3"/>
    </row>
    <row r="4" spans="1:59" ht="14.25" customHeight="1" x14ac:dyDescent="0.35">
      <c r="A4" s="3"/>
      <c r="B4" s="3"/>
      <c r="C4" s="3"/>
      <c r="D4" s="3"/>
      <c r="E4" s="3"/>
      <c r="F4" s="3"/>
      <c r="G4" s="3"/>
      <c r="H4" s="3"/>
      <c r="I4" s="1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7" t="s">
        <v>12</v>
      </c>
      <c r="V4" s="18">
        <v>38700</v>
      </c>
      <c r="W4" s="18">
        <f t="shared" ref="W4:W35" si="0">IF(V4="","",V4*0.8)</f>
        <v>30960</v>
      </c>
      <c r="X4" s="13">
        <f t="shared" ref="X4:X35" si="1">IF(V4="","",V4*0.2)</f>
        <v>7740</v>
      </c>
      <c r="Y4" s="14">
        <f t="shared" ref="Y4:Y35" si="2">CHOOSE(MATCH($C$3,$AI$36:$AI$37,0),W4,V4)</f>
        <v>38700</v>
      </c>
      <c r="Z4" s="15" t="s">
        <v>13</v>
      </c>
      <c r="AB4" s="4"/>
      <c r="AC4" s="3"/>
      <c r="AD4" s="3"/>
      <c r="AE4" s="3"/>
      <c r="AF4" s="3"/>
      <c r="AG4" s="3"/>
      <c r="AH4" s="3"/>
      <c r="AI4" s="3"/>
      <c r="AJ4" s="3"/>
    </row>
    <row r="5" spans="1:59" ht="17.25" customHeight="1" x14ac:dyDescent="0.45">
      <c r="A5" s="19" t="s">
        <v>14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7" t="s">
        <v>15</v>
      </c>
      <c r="V5" s="18">
        <v>38700</v>
      </c>
      <c r="W5" s="18">
        <f t="shared" si="0"/>
        <v>30960</v>
      </c>
      <c r="X5" s="13">
        <f t="shared" si="1"/>
        <v>7740</v>
      </c>
      <c r="Y5" s="14">
        <f t="shared" si="2"/>
        <v>38700</v>
      </c>
      <c r="Z5" s="15" t="s">
        <v>13</v>
      </c>
      <c r="AB5" s="4"/>
      <c r="AC5" s="3"/>
      <c r="AD5" s="3"/>
      <c r="AE5" s="3"/>
      <c r="AF5" s="3"/>
      <c r="AG5" s="3"/>
      <c r="AH5" s="3"/>
      <c r="AI5" s="3"/>
      <c r="AJ5" s="3"/>
    </row>
    <row r="6" spans="1:59" s="27" customFormat="1" ht="34.5" customHeight="1" x14ac:dyDescent="0.35">
      <c r="A6" s="20" t="s">
        <v>16</v>
      </c>
      <c r="B6" s="20" t="s">
        <v>17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22</v>
      </c>
      <c r="H6" s="21" t="s">
        <v>8</v>
      </c>
      <c r="I6" s="22"/>
      <c r="J6" s="21"/>
      <c r="K6" s="23"/>
      <c r="L6" s="23"/>
      <c r="M6" s="21"/>
      <c r="N6" s="21"/>
      <c r="O6" s="21"/>
      <c r="P6" s="21"/>
      <c r="Q6" s="21"/>
      <c r="R6" s="21"/>
      <c r="S6" s="21"/>
      <c r="T6" s="21"/>
      <c r="U6" s="24" t="s">
        <v>23</v>
      </c>
      <c r="V6" s="25">
        <f>200000</f>
        <v>200000</v>
      </c>
      <c r="W6" s="25">
        <f t="shared" si="0"/>
        <v>160000</v>
      </c>
      <c r="X6" s="13">
        <f t="shared" si="1"/>
        <v>40000</v>
      </c>
      <c r="Y6" s="14">
        <f t="shared" si="2"/>
        <v>200000</v>
      </c>
      <c r="Z6" s="26" t="s">
        <v>13</v>
      </c>
      <c r="AB6" s="22"/>
      <c r="AC6" s="21"/>
      <c r="AD6" s="21"/>
      <c r="AE6" s="21"/>
      <c r="AF6" s="21"/>
      <c r="AG6" s="21"/>
      <c r="AH6" s="21"/>
      <c r="AI6" s="21"/>
      <c r="AJ6" s="21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</row>
    <row r="7" spans="1:59" ht="17.25" customHeight="1" x14ac:dyDescent="0.35">
      <c r="A7" s="28" t="s">
        <v>24</v>
      </c>
      <c r="B7" s="29">
        <f>H38</f>
        <v>405197.8</v>
      </c>
      <c r="C7" s="30">
        <f>365.25/12</f>
        <v>30.4375</v>
      </c>
      <c r="D7" s="31">
        <f>365.25*lifetime</f>
        <v>9131.25</v>
      </c>
      <c r="E7" s="32">
        <v>1</v>
      </c>
      <c r="F7" s="29">
        <f>B7/C7*D7*E7</f>
        <v>121559340</v>
      </c>
      <c r="G7" s="28"/>
      <c r="H7" s="3"/>
      <c r="I7" s="4"/>
      <c r="J7" s="3"/>
      <c r="K7" s="6"/>
      <c r="L7" s="6"/>
      <c r="M7" s="3"/>
      <c r="N7" s="3"/>
      <c r="O7" s="3"/>
      <c r="P7" s="3"/>
      <c r="Q7" s="3"/>
      <c r="R7" s="3"/>
      <c r="S7" s="3"/>
      <c r="T7" s="3"/>
      <c r="U7" s="12" t="s">
        <v>25</v>
      </c>
      <c r="V7" s="13">
        <f>AVERAGE(V8:V9)</f>
        <v>234350</v>
      </c>
      <c r="W7" s="13">
        <f t="shared" si="0"/>
        <v>187480</v>
      </c>
      <c r="X7" s="13">
        <f t="shared" si="1"/>
        <v>46870</v>
      </c>
      <c r="Y7" s="14">
        <f t="shared" si="2"/>
        <v>234350</v>
      </c>
      <c r="Z7" s="15" t="s">
        <v>26</v>
      </c>
      <c r="AB7" s="4"/>
      <c r="AC7" s="3"/>
      <c r="AD7" s="3"/>
      <c r="AE7" s="3"/>
      <c r="AF7" s="3"/>
      <c r="AG7" s="3"/>
      <c r="AH7" s="3"/>
      <c r="AI7" s="3"/>
      <c r="AJ7" s="3"/>
    </row>
    <row r="8" spans="1:59" ht="17.25" customHeight="1" x14ac:dyDescent="0.35">
      <c r="A8" s="33" t="s">
        <v>27</v>
      </c>
      <c r="B8" s="34">
        <f>H43</f>
        <v>47701246.241250001</v>
      </c>
      <c r="C8" s="33">
        <v>14</v>
      </c>
      <c r="D8" s="35">
        <v>365.25</v>
      </c>
      <c r="E8" s="36">
        <v>1</v>
      </c>
      <c r="F8" s="34">
        <f t="shared" ref="F8:F21" si="3">B8/C8*D8*E8</f>
        <v>1244491442.1154687</v>
      </c>
      <c r="G8" s="33" t="s">
        <v>28</v>
      </c>
      <c r="H8" s="37"/>
      <c r="I8" s="4"/>
      <c r="J8" s="3"/>
      <c r="K8" s="6"/>
      <c r="L8" s="6"/>
      <c r="M8" s="3"/>
      <c r="N8" s="3"/>
      <c r="O8" s="3"/>
      <c r="P8" s="3"/>
      <c r="Q8" s="3"/>
      <c r="R8" s="3"/>
      <c r="S8" s="3"/>
      <c r="T8" s="3"/>
      <c r="U8" s="17" t="s">
        <v>29</v>
      </c>
      <c r="V8" s="18">
        <v>242200</v>
      </c>
      <c r="W8" s="13">
        <f t="shared" si="0"/>
        <v>193760</v>
      </c>
      <c r="X8" s="13">
        <f t="shared" si="1"/>
        <v>48440</v>
      </c>
      <c r="Y8" s="14">
        <f t="shared" si="2"/>
        <v>242200</v>
      </c>
      <c r="Z8" s="15" t="s">
        <v>13</v>
      </c>
      <c r="AB8" s="4"/>
      <c r="AC8" s="3"/>
      <c r="AD8" s="3"/>
      <c r="AE8" s="3"/>
      <c r="AF8" s="3"/>
      <c r="AG8" s="3"/>
      <c r="AH8" s="3"/>
      <c r="AI8" s="3"/>
      <c r="AJ8" s="3"/>
    </row>
    <row r="9" spans="1:59" ht="17.25" customHeight="1" x14ac:dyDescent="0.35">
      <c r="A9" s="38" t="s">
        <v>30</v>
      </c>
      <c r="B9" s="39">
        <f>H63</f>
        <v>3197670.0686693634</v>
      </c>
      <c r="C9" s="38">
        <f>3*7</f>
        <v>21</v>
      </c>
      <c r="D9" s="40">
        <f>C9*6</f>
        <v>126</v>
      </c>
      <c r="E9" s="41">
        <v>0.2</v>
      </c>
      <c r="F9" s="39">
        <f>B9/C9*D9*E9</f>
        <v>3837204.0824032361</v>
      </c>
      <c r="G9" s="38" t="s">
        <v>31</v>
      </c>
      <c r="H9" s="4" t="s">
        <v>32</v>
      </c>
      <c r="I9" s="4"/>
      <c r="J9" s="3"/>
      <c r="K9" s="6"/>
      <c r="L9" s="6"/>
      <c r="M9" s="3"/>
      <c r="N9" s="3"/>
      <c r="O9" s="3"/>
      <c r="P9" s="3"/>
      <c r="Q9" s="3"/>
      <c r="R9" s="3"/>
      <c r="S9" s="3"/>
      <c r="T9" s="3"/>
      <c r="U9" s="17" t="s">
        <v>33</v>
      </c>
      <c r="V9" s="18">
        <v>226500</v>
      </c>
      <c r="W9" s="13">
        <f t="shared" si="0"/>
        <v>181200</v>
      </c>
      <c r="X9" s="13">
        <f t="shared" si="1"/>
        <v>45300</v>
      </c>
      <c r="Y9" s="14">
        <f t="shared" si="2"/>
        <v>226500</v>
      </c>
      <c r="Z9" s="15" t="s">
        <v>13</v>
      </c>
      <c r="AB9" s="4"/>
      <c r="AC9" s="3"/>
      <c r="AD9" s="3"/>
      <c r="AE9" s="3"/>
      <c r="AF9" s="3"/>
      <c r="AG9" s="3"/>
      <c r="AH9" s="3"/>
      <c r="AI9" s="3"/>
      <c r="AJ9" s="3"/>
    </row>
    <row r="10" spans="1:59" ht="17.25" customHeight="1" x14ac:dyDescent="0.35">
      <c r="A10" s="38" t="s">
        <v>34</v>
      </c>
      <c r="B10" s="39">
        <f>H74</f>
        <v>16468281.826241905</v>
      </c>
      <c r="C10" s="38">
        <v>21</v>
      </c>
      <c r="D10" s="40">
        <f>21*4</f>
        <v>84</v>
      </c>
      <c r="E10" s="41">
        <v>0.12</v>
      </c>
      <c r="F10" s="39">
        <f t="shared" si="3"/>
        <v>7904775.276596114</v>
      </c>
      <c r="G10" s="38" t="s">
        <v>35</v>
      </c>
      <c r="H10" s="4" t="s">
        <v>36</v>
      </c>
      <c r="I10" s="4"/>
      <c r="J10" s="3"/>
      <c r="K10" s="6"/>
      <c r="L10" s="6"/>
      <c r="M10" s="3"/>
      <c r="N10" s="3"/>
      <c r="O10" s="3"/>
      <c r="P10" s="3"/>
      <c r="Q10" s="3"/>
      <c r="R10" s="3"/>
      <c r="S10" s="3"/>
      <c r="T10" s="3"/>
      <c r="U10" s="12" t="s">
        <v>37</v>
      </c>
      <c r="V10" s="13">
        <f>V7*0.3</f>
        <v>70305</v>
      </c>
      <c r="W10" s="13">
        <f t="shared" si="0"/>
        <v>56244</v>
      </c>
      <c r="X10" s="13">
        <f t="shared" si="1"/>
        <v>14061</v>
      </c>
      <c r="Y10" s="14">
        <f t="shared" si="2"/>
        <v>70305</v>
      </c>
      <c r="Z10" s="15" t="s">
        <v>38</v>
      </c>
      <c r="AB10" s="4"/>
      <c r="AC10" s="3"/>
      <c r="AD10" s="3"/>
      <c r="AE10" s="3"/>
      <c r="AF10" s="3"/>
      <c r="AG10" s="3"/>
      <c r="AH10" s="3"/>
      <c r="AI10" s="3"/>
      <c r="AJ10" s="3"/>
    </row>
    <row r="11" spans="1:59" ht="17.25" customHeight="1" x14ac:dyDescent="0.35">
      <c r="A11" s="38" t="s">
        <v>39</v>
      </c>
      <c r="B11" s="39">
        <f>H86</f>
        <v>1282632.9970328182</v>
      </c>
      <c r="C11" s="38">
        <v>21</v>
      </c>
      <c r="D11" s="40">
        <f>C11*(3+6)/2</f>
        <v>94.5</v>
      </c>
      <c r="E11" s="41">
        <v>0.02</v>
      </c>
      <c r="F11" s="39">
        <f t="shared" si="3"/>
        <v>115436.96973295364</v>
      </c>
      <c r="G11" s="38" t="s">
        <v>40</v>
      </c>
      <c r="H11" s="4" t="s">
        <v>41</v>
      </c>
      <c r="I11" s="4"/>
      <c r="J11" s="3"/>
      <c r="K11" s="6"/>
      <c r="L11" s="6"/>
      <c r="M11" s="3"/>
      <c r="N11" s="3"/>
      <c r="O11" s="3"/>
      <c r="P11" s="3"/>
      <c r="Q11" s="3"/>
      <c r="R11" s="3"/>
      <c r="S11" s="3"/>
      <c r="T11" s="3"/>
      <c r="U11" s="12" t="s">
        <v>42</v>
      </c>
      <c r="V11" s="13">
        <v>56200</v>
      </c>
      <c r="W11" s="13">
        <f t="shared" si="0"/>
        <v>44960</v>
      </c>
      <c r="X11" s="13">
        <f t="shared" si="1"/>
        <v>11240</v>
      </c>
      <c r="Y11" s="14">
        <f t="shared" si="2"/>
        <v>56200</v>
      </c>
      <c r="Z11" s="15" t="s">
        <v>43</v>
      </c>
      <c r="AB11" s="4"/>
      <c r="AC11" s="3"/>
      <c r="AD11" s="3"/>
      <c r="AE11" s="3"/>
      <c r="AF11" s="3"/>
      <c r="AG11" s="3"/>
      <c r="AH11" s="3"/>
      <c r="AI11" s="3"/>
      <c r="AJ11" s="3"/>
    </row>
    <row r="12" spans="1:59" ht="17.25" customHeight="1" x14ac:dyDescent="0.35">
      <c r="A12" s="38" t="s">
        <v>44</v>
      </c>
      <c r="B12" s="39">
        <f>H97</f>
        <v>1412320.4450004976</v>
      </c>
      <c r="C12" s="38">
        <v>28</v>
      </c>
      <c r="D12" s="42">
        <f>C12*4</f>
        <v>112</v>
      </c>
      <c r="E12" s="43">
        <v>0.03</v>
      </c>
      <c r="F12" s="39">
        <f t="shared" si="3"/>
        <v>169478.45340005972</v>
      </c>
      <c r="G12" s="38" t="s">
        <v>45</v>
      </c>
      <c r="H12" s="3" t="s">
        <v>46</v>
      </c>
      <c r="I12" s="4"/>
      <c r="J12" s="3"/>
      <c r="K12" s="6"/>
      <c r="L12" s="6"/>
      <c r="M12" s="3"/>
      <c r="N12" s="3"/>
      <c r="O12" s="3"/>
      <c r="P12" s="3"/>
      <c r="Q12" s="3"/>
      <c r="R12" s="3"/>
      <c r="S12" s="3"/>
      <c r="T12" s="3"/>
      <c r="U12" s="12" t="s">
        <v>47</v>
      </c>
      <c r="V12" s="13">
        <v>26240</v>
      </c>
      <c r="W12" s="18">
        <f t="shared" si="0"/>
        <v>20992</v>
      </c>
      <c r="X12" s="13">
        <f t="shared" si="1"/>
        <v>5248</v>
      </c>
      <c r="Y12" s="14">
        <f t="shared" si="2"/>
        <v>26240</v>
      </c>
      <c r="Z12" s="15" t="s">
        <v>13</v>
      </c>
      <c r="AB12" s="4"/>
      <c r="AC12" s="3"/>
      <c r="AD12" s="3"/>
      <c r="AE12" s="3"/>
      <c r="AF12" s="3"/>
      <c r="AG12" s="3"/>
      <c r="AH12" s="3"/>
      <c r="AI12" s="3"/>
      <c r="AJ12" s="3"/>
    </row>
    <row r="13" spans="1:59" ht="17.25" customHeight="1" x14ac:dyDescent="0.35">
      <c r="A13" s="38" t="s">
        <v>48</v>
      </c>
      <c r="B13" s="39">
        <f>H106</f>
        <v>2150870.1297904649</v>
      </c>
      <c r="C13" s="38">
        <v>21</v>
      </c>
      <c r="D13" s="40">
        <f>C13*4</f>
        <v>84</v>
      </c>
      <c r="E13" s="41">
        <v>0.05</v>
      </c>
      <c r="F13" s="39">
        <f t="shared" si="3"/>
        <v>430174.025958093</v>
      </c>
      <c r="G13" s="38" t="s">
        <v>35</v>
      </c>
      <c r="H13" s="3" t="s">
        <v>49</v>
      </c>
      <c r="I13" s="4"/>
      <c r="J13" s="3"/>
      <c r="K13" s="6"/>
      <c r="L13" s="6"/>
      <c r="M13" s="3"/>
      <c r="N13" s="3"/>
      <c r="O13" s="3"/>
      <c r="P13" s="3"/>
      <c r="Q13" s="3"/>
      <c r="R13" s="3"/>
      <c r="S13" s="3"/>
      <c r="T13" s="3"/>
      <c r="U13" s="12" t="s">
        <v>50</v>
      </c>
      <c r="V13" s="18">
        <v>160000</v>
      </c>
      <c r="W13" s="18">
        <f t="shared" si="0"/>
        <v>128000</v>
      </c>
      <c r="X13" s="13">
        <f t="shared" si="1"/>
        <v>32000</v>
      </c>
      <c r="Y13" s="14">
        <f t="shared" si="2"/>
        <v>160000</v>
      </c>
      <c r="Z13" s="15" t="s">
        <v>13</v>
      </c>
      <c r="AB13" s="4"/>
      <c r="AC13" s="3"/>
      <c r="AD13" s="3"/>
      <c r="AE13" s="3"/>
      <c r="AF13" s="3"/>
      <c r="AG13" s="3"/>
      <c r="AH13" s="3"/>
      <c r="AI13" s="3"/>
      <c r="AJ13" s="3"/>
    </row>
    <row r="14" spans="1:59" ht="17.25" customHeight="1" x14ac:dyDescent="0.35">
      <c r="A14" s="38" t="s">
        <v>51</v>
      </c>
      <c r="B14" s="39">
        <f>H110</f>
        <v>337500</v>
      </c>
      <c r="C14" s="38">
        <v>28</v>
      </c>
      <c r="D14" s="40">
        <f>365.25*lifetime</f>
        <v>9131.25</v>
      </c>
      <c r="E14" s="41">
        <v>0.28000000000000003</v>
      </c>
      <c r="F14" s="39">
        <f>B14/C14*D14*E14</f>
        <v>30817968.750000004</v>
      </c>
      <c r="G14" s="38" t="s">
        <v>52</v>
      </c>
      <c r="H14" s="3" t="s">
        <v>53</v>
      </c>
      <c r="I14" s="4"/>
      <c r="J14" s="3"/>
      <c r="K14" s="6"/>
      <c r="L14" s="6"/>
      <c r="M14" s="3"/>
      <c r="N14" s="3"/>
      <c r="O14" s="3"/>
      <c r="P14" s="3"/>
      <c r="Q14" s="3"/>
      <c r="R14" s="3"/>
      <c r="S14" s="3"/>
      <c r="T14" s="3"/>
      <c r="U14" s="12" t="s">
        <v>54</v>
      </c>
      <c r="V14" s="18">
        <v>146480</v>
      </c>
      <c r="W14" s="18">
        <f t="shared" si="0"/>
        <v>117184</v>
      </c>
      <c r="X14" s="13">
        <f t="shared" si="1"/>
        <v>29296</v>
      </c>
      <c r="Y14" s="14">
        <f t="shared" si="2"/>
        <v>146480</v>
      </c>
      <c r="Z14" s="15" t="s">
        <v>13</v>
      </c>
      <c r="AB14" s="4"/>
      <c r="AC14" s="3"/>
      <c r="AD14" s="3"/>
      <c r="AE14" s="3"/>
      <c r="AF14" s="3"/>
      <c r="AG14" s="3"/>
      <c r="AH14" s="3"/>
      <c r="AI14" s="3"/>
      <c r="AJ14" s="3"/>
    </row>
    <row r="15" spans="1:59" ht="17.25" customHeight="1" x14ac:dyDescent="0.35">
      <c r="A15" s="38" t="s">
        <v>55</v>
      </c>
      <c r="B15" s="39">
        <f>H120</f>
        <v>15894372.616428541</v>
      </c>
      <c r="C15" s="38">
        <v>21</v>
      </c>
      <c r="D15" s="40">
        <f>C15*6</f>
        <v>126</v>
      </c>
      <c r="E15" s="41">
        <v>0.24</v>
      </c>
      <c r="F15" s="39">
        <f t="shared" si="3"/>
        <v>22887896.567657098</v>
      </c>
      <c r="G15" s="38" t="s">
        <v>31</v>
      </c>
      <c r="H15" s="3" t="s">
        <v>56</v>
      </c>
      <c r="I15" s="4"/>
      <c r="J15" s="3"/>
      <c r="K15" s="6"/>
      <c r="L15" s="6"/>
      <c r="M15" s="3"/>
      <c r="N15" s="3"/>
      <c r="O15" s="3"/>
      <c r="P15" s="3"/>
      <c r="Q15" s="3"/>
      <c r="R15" s="3"/>
      <c r="S15" s="3"/>
      <c r="T15" s="3"/>
      <c r="U15" s="12" t="s">
        <v>57</v>
      </c>
      <c r="V15" s="13">
        <f>SUM(V16:V18)</f>
        <v>64500</v>
      </c>
      <c r="W15" s="13">
        <f t="shared" si="0"/>
        <v>51600</v>
      </c>
      <c r="X15" s="13">
        <f t="shared" si="1"/>
        <v>12900</v>
      </c>
      <c r="Y15" s="14">
        <f t="shared" si="2"/>
        <v>64500</v>
      </c>
      <c r="Z15" s="15" t="s">
        <v>43</v>
      </c>
      <c r="AB15" s="4"/>
      <c r="AC15" s="3"/>
      <c r="AD15" s="3"/>
      <c r="AE15" s="3"/>
      <c r="AF15" s="3"/>
      <c r="AG15" s="3"/>
      <c r="AH15" s="3"/>
      <c r="AI15" s="3"/>
      <c r="AJ15" s="3"/>
    </row>
    <row r="16" spans="1:59" ht="17.25" customHeight="1" x14ac:dyDescent="0.35">
      <c r="A16" s="38" t="s">
        <v>58</v>
      </c>
      <c r="B16" s="39">
        <f>H124</f>
        <v>878062.5</v>
      </c>
      <c r="C16" s="38">
        <v>28</v>
      </c>
      <c r="D16" s="44">
        <f>C16*12</f>
        <v>336</v>
      </c>
      <c r="E16" s="45">
        <v>0.06</v>
      </c>
      <c r="F16" s="39">
        <f>B16/C16*D16*E16</f>
        <v>632205</v>
      </c>
      <c r="G16" s="46" t="s">
        <v>59</v>
      </c>
      <c r="H16" s="3" t="s">
        <v>60</v>
      </c>
      <c r="I16" s="4"/>
      <c r="J16" s="3"/>
      <c r="K16" s="6"/>
      <c r="L16" s="6"/>
      <c r="M16" s="3"/>
      <c r="N16" s="3"/>
      <c r="O16" s="3"/>
      <c r="P16" s="3"/>
      <c r="Q16" s="3"/>
      <c r="R16" s="3"/>
      <c r="S16" s="3"/>
      <c r="T16" s="3"/>
      <c r="U16" s="17" t="s">
        <v>61</v>
      </c>
      <c r="V16" s="18">
        <v>21500</v>
      </c>
      <c r="W16" s="18">
        <f t="shared" si="0"/>
        <v>17200</v>
      </c>
      <c r="X16" s="13">
        <f t="shared" si="1"/>
        <v>4300</v>
      </c>
      <c r="Y16" s="14">
        <f t="shared" si="2"/>
        <v>21500</v>
      </c>
      <c r="Z16" s="15" t="s">
        <v>13</v>
      </c>
      <c r="AB16" s="4"/>
      <c r="AC16" s="3"/>
      <c r="AD16" s="3"/>
      <c r="AE16" s="3"/>
      <c r="AF16" s="3"/>
      <c r="AG16" s="3"/>
      <c r="AH16" s="3"/>
      <c r="AI16" s="3"/>
      <c r="AJ16" s="3"/>
    </row>
    <row r="17" spans="1:36" ht="17.25" customHeight="1" x14ac:dyDescent="0.35">
      <c r="A17" s="47" t="s">
        <v>62</v>
      </c>
      <c r="B17" s="48">
        <f>H134</f>
        <v>6249519.6242878437</v>
      </c>
      <c r="C17" s="47">
        <v>10</v>
      </c>
      <c r="D17" s="49">
        <v>1</v>
      </c>
      <c r="E17" s="50"/>
      <c r="F17" s="48"/>
      <c r="G17" s="47"/>
      <c r="H17" s="3"/>
      <c r="I17" s="4"/>
      <c r="J17" s="3"/>
      <c r="K17" s="6"/>
      <c r="L17" s="6"/>
      <c r="M17" s="3"/>
      <c r="N17" s="3"/>
      <c r="O17" s="3"/>
      <c r="P17" s="3"/>
      <c r="Q17" s="3"/>
      <c r="R17" s="3"/>
      <c r="S17" s="3"/>
      <c r="T17" s="3"/>
      <c r="U17" s="17" t="s">
        <v>63</v>
      </c>
      <c r="V17" s="18">
        <v>21500</v>
      </c>
      <c r="W17" s="18">
        <f t="shared" si="0"/>
        <v>17200</v>
      </c>
      <c r="X17" s="13">
        <f t="shared" si="1"/>
        <v>4300</v>
      </c>
      <c r="Y17" s="14">
        <f t="shared" si="2"/>
        <v>21500</v>
      </c>
      <c r="Z17" s="15" t="s">
        <v>13</v>
      </c>
      <c r="AB17" s="4"/>
      <c r="AC17" s="3"/>
      <c r="AD17" s="3"/>
      <c r="AE17" s="3"/>
      <c r="AF17" s="3"/>
      <c r="AG17" s="3"/>
      <c r="AH17" s="3"/>
      <c r="AI17" s="3"/>
      <c r="AJ17" s="3"/>
    </row>
    <row r="18" spans="1:36" ht="17.25" customHeight="1" x14ac:dyDescent="0.35">
      <c r="A18" s="47" t="s">
        <v>64</v>
      </c>
      <c r="B18" s="48">
        <f>H141</f>
        <v>1512350</v>
      </c>
      <c r="C18" s="47">
        <v>3</v>
      </c>
      <c r="D18" s="49">
        <v>1</v>
      </c>
      <c r="E18" s="50"/>
      <c r="F18" s="48"/>
      <c r="G18" s="47"/>
      <c r="H18" s="3"/>
      <c r="I18" s="4"/>
      <c r="J18" s="3"/>
      <c r="K18" s="6"/>
      <c r="L18" s="6"/>
      <c r="M18" s="3"/>
      <c r="N18" s="3"/>
      <c r="O18" s="3"/>
      <c r="P18" s="3"/>
      <c r="Q18" s="3"/>
      <c r="R18" s="3"/>
      <c r="S18" s="3"/>
      <c r="T18" s="3"/>
      <c r="U18" s="17" t="s">
        <v>65</v>
      </c>
      <c r="V18" s="18">
        <v>21500</v>
      </c>
      <c r="W18" s="18">
        <f t="shared" si="0"/>
        <v>17200</v>
      </c>
      <c r="X18" s="13">
        <f t="shared" si="1"/>
        <v>4300</v>
      </c>
      <c r="Y18" s="14">
        <f t="shared" si="2"/>
        <v>21500</v>
      </c>
      <c r="Z18" s="15" t="s">
        <v>13</v>
      </c>
      <c r="AB18" s="4"/>
      <c r="AC18" s="3"/>
      <c r="AD18" s="3"/>
      <c r="AE18" s="3"/>
      <c r="AF18" s="3"/>
      <c r="AG18" s="3"/>
      <c r="AH18" s="3"/>
      <c r="AI18" s="3"/>
      <c r="AJ18" s="3"/>
    </row>
    <row r="19" spans="1:36" ht="17.25" customHeight="1" x14ac:dyDescent="0.35">
      <c r="A19" s="47" t="s">
        <v>66</v>
      </c>
      <c r="B19" s="48">
        <f>H154</f>
        <v>9211917.4144000001</v>
      </c>
      <c r="C19" s="47">
        <v>14</v>
      </c>
      <c r="D19" s="49">
        <v>1</v>
      </c>
      <c r="E19" s="50"/>
      <c r="F19" s="48"/>
      <c r="G19" s="47"/>
      <c r="H19" s="3"/>
      <c r="I19" s="4"/>
      <c r="J19" s="3"/>
      <c r="K19" s="6"/>
      <c r="L19" s="6"/>
      <c r="M19" s="3"/>
      <c r="N19" s="3"/>
      <c r="O19" s="3"/>
      <c r="P19" s="3"/>
      <c r="Q19" s="3"/>
      <c r="R19" s="3"/>
      <c r="S19" s="3"/>
      <c r="T19" s="3"/>
      <c r="U19" s="12" t="s">
        <v>67</v>
      </c>
      <c r="V19" s="13">
        <f>SUM(V20:V21)</f>
        <v>102300</v>
      </c>
      <c r="W19" s="13">
        <f t="shared" si="0"/>
        <v>81840</v>
      </c>
      <c r="X19" s="13">
        <f t="shared" si="1"/>
        <v>20460</v>
      </c>
      <c r="Y19" s="14">
        <f t="shared" si="2"/>
        <v>102300</v>
      </c>
      <c r="Z19" s="15" t="s">
        <v>43</v>
      </c>
      <c r="AB19" s="4"/>
      <c r="AC19" s="3"/>
      <c r="AD19" s="3"/>
      <c r="AE19" s="3"/>
      <c r="AF19" s="3"/>
      <c r="AG19" s="3"/>
      <c r="AH19" s="3"/>
      <c r="AI19" s="3"/>
      <c r="AJ19" s="3"/>
    </row>
    <row r="20" spans="1:36" ht="17.25" customHeight="1" x14ac:dyDescent="0.35">
      <c r="A20" s="51" t="s">
        <v>68</v>
      </c>
      <c r="B20" s="52">
        <f>H167</f>
        <v>9508602.4290909097</v>
      </c>
      <c r="C20" s="51">
        <v>14</v>
      </c>
      <c r="D20" s="53">
        <v>1</v>
      </c>
      <c r="E20" s="54"/>
      <c r="F20" s="52"/>
      <c r="G20" s="51"/>
      <c r="H20" s="3"/>
      <c r="I20" s="4"/>
      <c r="J20" s="3"/>
      <c r="K20" s="6"/>
      <c r="L20" s="6"/>
      <c r="M20" s="3"/>
      <c r="N20" s="3"/>
      <c r="O20" s="3"/>
      <c r="P20" s="3"/>
      <c r="Q20" s="3"/>
      <c r="R20" s="3"/>
      <c r="S20" s="3"/>
      <c r="T20" s="3"/>
      <c r="U20" s="17" t="s">
        <v>69</v>
      </c>
      <c r="V20" s="18">
        <v>26900</v>
      </c>
      <c r="W20" s="18">
        <f t="shared" si="0"/>
        <v>21520</v>
      </c>
      <c r="X20" s="13">
        <f t="shared" si="1"/>
        <v>5380</v>
      </c>
      <c r="Y20" s="14">
        <f t="shared" si="2"/>
        <v>26900</v>
      </c>
      <c r="Z20" s="15" t="s">
        <v>13</v>
      </c>
      <c r="AB20" s="4"/>
      <c r="AC20" s="3"/>
      <c r="AD20" s="3"/>
      <c r="AE20" s="3"/>
      <c r="AF20" s="3"/>
      <c r="AG20" s="3"/>
      <c r="AH20" s="3"/>
      <c r="AI20" s="3"/>
      <c r="AJ20" s="3"/>
    </row>
    <row r="21" spans="1:36" ht="17.25" customHeight="1" x14ac:dyDescent="0.35">
      <c r="A21" s="33" t="s">
        <v>70</v>
      </c>
      <c r="B21" s="34">
        <f>SUM(H46:H48)</f>
        <v>111420.84910750001</v>
      </c>
      <c r="C21" s="33">
        <v>14</v>
      </c>
      <c r="D21" s="35">
        <v>365.25</v>
      </c>
      <c r="E21" s="36">
        <v>1</v>
      </c>
      <c r="F21" s="34">
        <f t="shared" si="3"/>
        <v>2906890.3668938838</v>
      </c>
      <c r="G21" s="33" t="s">
        <v>71</v>
      </c>
      <c r="H21" s="3"/>
      <c r="I21" s="4"/>
      <c r="J21" s="3"/>
      <c r="K21" s="6"/>
      <c r="L21" s="6"/>
      <c r="M21" s="3"/>
      <c r="N21" s="3"/>
      <c r="O21" s="3"/>
      <c r="P21" s="3"/>
      <c r="Q21" s="3"/>
      <c r="R21" s="3"/>
      <c r="S21" s="3"/>
      <c r="T21" s="3"/>
      <c r="U21" s="17" t="s">
        <v>72</v>
      </c>
      <c r="V21" s="18">
        <v>75400</v>
      </c>
      <c r="W21" s="18">
        <f t="shared" si="0"/>
        <v>60320</v>
      </c>
      <c r="X21" s="13">
        <f t="shared" si="1"/>
        <v>15080</v>
      </c>
      <c r="Y21" s="14">
        <f t="shared" si="2"/>
        <v>75400</v>
      </c>
      <c r="Z21" s="15" t="s">
        <v>13</v>
      </c>
      <c r="AB21" s="4"/>
      <c r="AC21" s="3"/>
      <c r="AD21" s="3"/>
      <c r="AE21" s="3"/>
      <c r="AF21" s="3"/>
      <c r="AG21" s="3"/>
      <c r="AH21" s="3"/>
      <c r="AI21" s="3"/>
      <c r="AJ21" s="3"/>
    </row>
    <row r="22" spans="1:36" ht="17.25" customHeight="1" x14ac:dyDescent="0.35">
      <c r="A22" s="55"/>
      <c r="B22" s="56"/>
      <c r="C22" s="55"/>
      <c r="D22" s="57"/>
      <c r="E22" s="58"/>
      <c r="F22" s="55"/>
      <c r="G22" s="3"/>
      <c r="H22" s="3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 t="s">
        <v>73</v>
      </c>
      <c r="V22" s="13">
        <f>V24</f>
        <v>1701000</v>
      </c>
      <c r="W22" s="13">
        <f t="shared" si="0"/>
        <v>1360800</v>
      </c>
      <c r="X22" s="13">
        <f t="shared" si="1"/>
        <v>340200</v>
      </c>
      <c r="Y22" s="14">
        <f t="shared" si="2"/>
        <v>1701000</v>
      </c>
      <c r="Z22" s="15" t="s">
        <v>74</v>
      </c>
      <c r="AB22" s="4"/>
      <c r="AC22" s="3"/>
      <c r="AD22" s="3"/>
      <c r="AE22" s="3"/>
      <c r="AF22" s="3"/>
      <c r="AG22" s="3"/>
      <c r="AH22" s="3"/>
      <c r="AI22" s="3"/>
      <c r="AJ22" s="3"/>
    </row>
    <row r="23" spans="1:36" ht="14.25" customHeight="1" x14ac:dyDescent="0.35">
      <c r="A23" s="59"/>
      <c r="B23" s="60"/>
      <c r="C23" s="59"/>
      <c r="D23" s="61"/>
      <c r="E23" s="62"/>
      <c r="F23" s="59"/>
      <c r="G23" s="3"/>
      <c r="H23" s="3"/>
      <c r="I23" s="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7" t="s">
        <v>75</v>
      </c>
      <c r="V23" s="18">
        <v>632000</v>
      </c>
      <c r="W23" s="18">
        <f t="shared" si="0"/>
        <v>505600</v>
      </c>
      <c r="X23" s="13">
        <f t="shared" si="1"/>
        <v>126400</v>
      </c>
      <c r="Y23" s="14">
        <f t="shared" si="2"/>
        <v>632000</v>
      </c>
      <c r="Z23" s="15" t="s">
        <v>13</v>
      </c>
      <c r="AB23" s="4"/>
      <c r="AC23" s="3"/>
      <c r="AD23" s="3"/>
      <c r="AE23" s="3"/>
      <c r="AF23" s="3"/>
      <c r="AG23" s="3"/>
      <c r="AH23" s="3"/>
      <c r="AI23" s="3"/>
      <c r="AJ23" s="3"/>
    </row>
    <row r="24" spans="1:36" ht="14.25" customHeight="1" x14ac:dyDescent="0.35">
      <c r="A24" s="59"/>
      <c r="B24" s="60"/>
      <c r="C24" s="59"/>
      <c r="D24" s="61"/>
      <c r="E24" s="62"/>
      <c r="F24" s="59"/>
      <c r="G24" s="3"/>
      <c r="H24" s="3"/>
      <c r="I24" s="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7" t="s">
        <v>76</v>
      </c>
      <c r="V24" s="18">
        <v>1701000</v>
      </c>
      <c r="W24" s="18">
        <f t="shared" si="0"/>
        <v>1360800</v>
      </c>
      <c r="X24" s="13">
        <f t="shared" si="1"/>
        <v>340200</v>
      </c>
      <c r="Y24" s="14">
        <f t="shared" si="2"/>
        <v>1701000</v>
      </c>
      <c r="Z24" s="15" t="s">
        <v>13</v>
      </c>
      <c r="AB24" s="4"/>
      <c r="AC24" s="3"/>
      <c r="AD24" s="3"/>
      <c r="AE24" s="3"/>
      <c r="AF24" s="3"/>
      <c r="AG24" s="3"/>
      <c r="AH24" s="3"/>
      <c r="AI24" s="3"/>
      <c r="AJ24" s="3"/>
    </row>
    <row r="25" spans="1:36" ht="14.25" customHeight="1" x14ac:dyDescent="0.35">
      <c r="A25" s="3"/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7" t="s">
        <v>77</v>
      </c>
      <c r="V25" s="18">
        <v>2985000</v>
      </c>
      <c r="W25" s="18">
        <f t="shared" si="0"/>
        <v>2388000</v>
      </c>
      <c r="X25" s="13">
        <f t="shared" si="1"/>
        <v>597000</v>
      </c>
      <c r="Y25" s="14">
        <f t="shared" si="2"/>
        <v>2985000</v>
      </c>
      <c r="Z25" s="15" t="s">
        <v>13</v>
      </c>
      <c r="AB25" s="4"/>
      <c r="AC25" s="3"/>
      <c r="AD25" s="3"/>
      <c r="AE25" s="3"/>
      <c r="AF25" s="3"/>
      <c r="AG25" s="3"/>
      <c r="AH25" s="3"/>
      <c r="AI25" s="3"/>
      <c r="AJ25" s="3"/>
    </row>
    <row r="26" spans="1:36" ht="14.25" customHeight="1" x14ac:dyDescent="0.35">
      <c r="A26" s="3"/>
      <c r="B26" s="3"/>
      <c r="C26" s="3"/>
      <c r="D26" s="4" t="s">
        <v>78</v>
      </c>
      <c r="E26" s="63">
        <f>bsa</f>
        <v>1.6058288552027391</v>
      </c>
      <c r="F26" s="3"/>
      <c r="G26" s="3"/>
      <c r="H26" s="3"/>
      <c r="I26" s="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64" t="s">
        <v>79</v>
      </c>
      <c r="V26" s="13">
        <f>19777000</f>
        <v>19777000</v>
      </c>
      <c r="W26" s="13">
        <f t="shared" si="0"/>
        <v>15821600</v>
      </c>
      <c r="X26" s="13">
        <f t="shared" si="1"/>
        <v>3955400</v>
      </c>
      <c r="Y26" s="14">
        <f t="shared" si="2"/>
        <v>19777000</v>
      </c>
      <c r="Z26" s="15" t="s">
        <v>13</v>
      </c>
      <c r="AB26" s="4"/>
      <c r="AC26" s="3"/>
      <c r="AD26" s="3"/>
      <c r="AE26" s="3"/>
      <c r="AF26" s="3"/>
      <c r="AG26" s="3"/>
      <c r="AH26" s="3"/>
      <c r="AI26" s="3"/>
      <c r="AJ26" s="3"/>
    </row>
    <row r="27" spans="1:36" ht="14.25" customHeight="1" x14ac:dyDescent="0.35">
      <c r="A27" s="3"/>
      <c r="B27" s="3"/>
      <c r="C27" s="3"/>
      <c r="D27" s="4" t="s">
        <v>80</v>
      </c>
      <c r="E27" s="3">
        <f>weight</f>
        <v>56.962499999999999</v>
      </c>
      <c r="F27" s="3"/>
      <c r="G27" s="3"/>
      <c r="H27" s="3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 t="s">
        <v>81</v>
      </c>
      <c r="V27" s="13">
        <v>21400</v>
      </c>
      <c r="W27" s="13">
        <f t="shared" si="0"/>
        <v>17120</v>
      </c>
      <c r="X27" s="13">
        <f t="shared" si="1"/>
        <v>4280</v>
      </c>
      <c r="Y27" s="14">
        <f t="shared" si="2"/>
        <v>21400</v>
      </c>
      <c r="Z27" s="15" t="s">
        <v>13</v>
      </c>
      <c r="AB27" s="4"/>
      <c r="AC27" s="3"/>
      <c r="AD27" s="3"/>
      <c r="AE27" s="3"/>
      <c r="AF27" s="3"/>
      <c r="AG27" s="3"/>
      <c r="AH27" s="3"/>
      <c r="AI27" s="3"/>
      <c r="AJ27" s="3"/>
    </row>
    <row r="28" spans="1:36" ht="14.25" customHeight="1" x14ac:dyDescent="0.35">
      <c r="A28" s="3"/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 t="s">
        <v>82</v>
      </c>
      <c r="V28" s="13">
        <v>106000</v>
      </c>
      <c r="W28" s="13">
        <f t="shared" si="0"/>
        <v>84800</v>
      </c>
      <c r="X28" s="13">
        <f t="shared" si="1"/>
        <v>21200</v>
      </c>
      <c r="Y28" s="14">
        <f t="shared" si="2"/>
        <v>106000</v>
      </c>
      <c r="Z28" s="15" t="s">
        <v>83</v>
      </c>
      <c r="AB28" s="4"/>
      <c r="AC28" s="3"/>
      <c r="AD28" s="3"/>
      <c r="AE28" s="3"/>
      <c r="AF28" s="3"/>
      <c r="AG28" s="3"/>
      <c r="AH28" s="3"/>
      <c r="AI28" s="3"/>
      <c r="AJ28" s="3"/>
    </row>
    <row r="29" spans="1:36" ht="21.5" customHeight="1" x14ac:dyDescent="0.35">
      <c r="A29" s="65" t="s">
        <v>84</v>
      </c>
      <c r="B29" s="66"/>
      <c r="C29" s="66"/>
      <c r="D29" s="66"/>
      <c r="E29" s="66"/>
      <c r="F29" s="66"/>
      <c r="G29" s="66"/>
      <c r="H29" s="67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 t="s">
        <v>85</v>
      </c>
      <c r="V29" s="13">
        <v>757000</v>
      </c>
      <c r="W29" s="13">
        <f t="shared" si="0"/>
        <v>605600</v>
      </c>
      <c r="X29" s="13">
        <f t="shared" si="1"/>
        <v>151400</v>
      </c>
      <c r="Y29" s="14">
        <f t="shared" si="2"/>
        <v>757000</v>
      </c>
      <c r="Z29" s="15" t="s">
        <v>86</v>
      </c>
      <c r="AB29" s="4"/>
      <c r="AC29" s="3"/>
      <c r="AD29" s="3"/>
      <c r="AE29" s="3"/>
      <c r="AF29" s="3"/>
      <c r="AG29" s="3"/>
      <c r="AH29" s="3"/>
      <c r="AI29" s="3"/>
      <c r="AJ29" s="3"/>
    </row>
    <row r="30" spans="1:36" ht="18.75" customHeight="1" x14ac:dyDescent="0.35">
      <c r="A30" s="68" t="s">
        <v>87</v>
      </c>
      <c r="B30" s="68" t="s">
        <v>88</v>
      </c>
      <c r="C30" s="69" t="s">
        <v>89</v>
      </c>
      <c r="D30" s="69"/>
      <c r="E30" s="69"/>
      <c r="F30" s="69" t="s">
        <v>90</v>
      </c>
      <c r="G30" s="69" t="s">
        <v>91</v>
      </c>
      <c r="H30" s="70" t="s">
        <v>92</v>
      </c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 t="s">
        <v>93</v>
      </c>
      <c r="V30" s="13">
        <v>141000</v>
      </c>
      <c r="W30" s="13">
        <f t="shared" si="0"/>
        <v>112800</v>
      </c>
      <c r="X30" s="13">
        <f t="shared" si="1"/>
        <v>28200</v>
      </c>
      <c r="Y30" s="14">
        <f t="shared" si="2"/>
        <v>141000</v>
      </c>
      <c r="Z30" s="15" t="s">
        <v>86</v>
      </c>
      <c r="AB30" s="4"/>
      <c r="AC30" s="3"/>
      <c r="AD30" s="3"/>
      <c r="AE30" s="3"/>
      <c r="AF30" s="3"/>
      <c r="AG30" s="3"/>
      <c r="AH30" s="3"/>
      <c r="AI30" s="3"/>
      <c r="AJ30" s="3"/>
    </row>
    <row r="31" spans="1:36" ht="18.75" customHeight="1" x14ac:dyDescent="0.35">
      <c r="A31" s="71" t="s">
        <v>94</v>
      </c>
      <c r="B31" s="3" t="s">
        <v>10</v>
      </c>
      <c r="C31" s="3">
        <v>1</v>
      </c>
      <c r="D31" s="3"/>
      <c r="E31" s="3"/>
      <c r="F31" s="3">
        <v>0.33</v>
      </c>
      <c r="G31" s="72">
        <f>Y3</f>
        <v>38700</v>
      </c>
      <c r="H31" s="73">
        <f t="shared" ref="H31:H37" si="4">C31*F31*G31</f>
        <v>12771</v>
      </c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 t="s">
        <v>95</v>
      </c>
      <c r="V31" s="13">
        <f>40000+62900+40000+56000</f>
        <v>198900</v>
      </c>
      <c r="W31" s="13">
        <f t="shared" si="0"/>
        <v>159120</v>
      </c>
      <c r="X31" s="13">
        <f t="shared" si="1"/>
        <v>39780</v>
      </c>
      <c r="Y31" s="14">
        <f t="shared" si="2"/>
        <v>198900</v>
      </c>
      <c r="Z31" s="15" t="s">
        <v>13</v>
      </c>
      <c r="AB31" s="4"/>
      <c r="AC31" s="3"/>
      <c r="AD31" s="3"/>
      <c r="AE31" s="3"/>
      <c r="AF31" s="3"/>
      <c r="AG31" s="3"/>
      <c r="AH31" s="3"/>
      <c r="AI31" s="3"/>
      <c r="AJ31" s="3"/>
    </row>
    <row r="32" spans="1:36" ht="14.25" customHeight="1" x14ac:dyDescent="0.35">
      <c r="A32" s="71" t="s">
        <v>94</v>
      </c>
      <c r="B32" s="3" t="s">
        <v>96</v>
      </c>
      <c r="C32" s="3">
        <v>1</v>
      </c>
      <c r="D32" s="3"/>
      <c r="E32" s="3"/>
      <c r="F32" s="3">
        <v>0.33</v>
      </c>
      <c r="G32" s="72">
        <f>Y11</f>
        <v>56200</v>
      </c>
      <c r="H32" s="73">
        <f t="shared" si="4"/>
        <v>18546</v>
      </c>
      <c r="I32" s="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 t="s">
        <v>97</v>
      </c>
      <c r="V32" s="13">
        <v>559000</v>
      </c>
      <c r="W32" s="13">
        <f t="shared" si="0"/>
        <v>447200</v>
      </c>
      <c r="X32" s="13">
        <f t="shared" si="1"/>
        <v>111800</v>
      </c>
      <c r="Y32" s="14">
        <f t="shared" si="2"/>
        <v>559000</v>
      </c>
      <c r="Z32" s="15" t="s">
        <v>13</v>
      </c>
      <c r="AB32" s="6"/>
      <c r="AC32" s="6"/>
      <c r="AD32" s="3"/>
      <c r="AE32" s="3"/>
      <c r="AF32" s="3"/>
      <c r="AG32" s="3"/>
      <c r="AH32" s="3"/>
      <c r="AI32" s="3"/>
      <c r="AJ32" s="3"/>
    </row>
    <row r="33" spans="1:36" ht="14.25" customHeight="1" x14ac:dyDescent="0.35">
      <c r="A33" s="71" t="s">
        <v>94</v>
      </c>
      <c r="B33" s="3" t="s">
        <v>98</v>
      </c>
      <c r="C33" s="3">
        <v>1</v>
      </c>
      <c r="D33" s="3"/>
      <c r="E33" s="3"/>
      <c r="F33" s="3">
        <v>0.17</v>
      </c>
      <c r="G33" s="72">
        <f>Y14</f>
        <v>146480</v>
      </c>
      <c r="H33" s="73">
        <f t="shared" si="4"/>
        <v>24901.600000000002</v>
      </c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 t="s">
        <v>99</v>
      </c>
      <c r="V33" s="13">
        <v>719000</v>
      </c>
      <c r="W33" s="13">
        <f t="shared" si="0"/>
        <v>575200</v>
      </c>
      <c r="X33" s="13">
        <f t="shared" si="1"/>
        <v>143800</v>
      </c>
      <c r="Y33" s="14">
        <f t="shared" si="2"/>
        <v>719000</v>
      </c>
      <c r="Z33" s="15" t="s">
        <v>13</v>
      </c>
      <c r="AB33" s="6"/>
      <c r="AC33" s="6"/>
      <c r="AD33" s="3"/>
      <c r="AE33" s="74"/>
      <c r="AF33" s="75"/>
      <c r="AG33" s="3"/>
      <c r="AH33" s="3"/>
      <c r="AI33" s="3"/>
      <c r="AJ33" s="3"/>
    </row>
    <row r="34" spans="1:36" ht="14.25" customHeight="1" x14ac:dyDescent="0.35">
      <c r="A34" s="71" t="s">
        <v>94</v>
      </c>
      <c r="B34" s="3" t="s">
        <v>100</v>
      </c>
      <c r="C34" s="3">
        <v>1</v>
      </c>
      <c r="D34" s="3"/>
      <c r="E34" s="3"/>
      <c r="F34" s="3">
        <v>0.17</v>
      </c>
      <c r="G34" s="72">
        <f>Y24</f>
        <v>1701000</v>
      </c>
      <c r="H34" s="73">
        <f t="shared" si="4"/>
        <v>289170</v>
      </c>
      <c r="I34" s="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 t="s">
        <v>101</v>
      </c>
      <c r="V34" s="13">
        <v>65600</v>
      </c>
      <c r="W34" s="13">
        <f t="shared" si="0"/>
        <v>52480</v>
      </c>
      <c r="X34" s="13">
        <f t="shared" si="1"/>
        <v>13120</v>
      </c>
      <c r="Y34" s="14">
        <f t="shared" si="2"/>
        <v>65600</v>
      </c>
      <c r="Z34" s="15" t="s">
        <v>13</v>
      </c>
      <c r="AB34" s="6"/>
      <c r="AC34" s="6"/>
      <c r="AD34" s="3"/>
      <c r="AE34" s="74"/>
      <c r="AF34" s="75"/>
      <c r="AG34" s="3"/>
      <c r="AH34" s="3"/>
      <c r="AI34" s="3"/>
      <c r="AJ34" s="3"/>
    </row>
    <row r="35" spans="1:36" ht="14.25" customHeight="1" x14ac:dyDescent="0.35">
      <c r="A35" s="71" t="s">
        <v>94</v>
      </c>
      <c r="B35" s="3" t="s">
        <v>47</v>
      </c>
      <c r="C35" s="3">
        <v>1</v>
      </c>
      <c r="D35" s="3"/>
      <c r="E35" s="3"/>
      <c r="F35" s="3">
        <v>0.33</v>
      </c>
      <c r="G35" s="72">
        <f>Y12</f>
        <v>26240</v>
      </c>
      <c r="H35" s="73">
        <f t="shared" si="4"/>
        <v>8659.2000000000007</v>
      </c>
      <c r="I35" s="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 t="s">
        <v>102</v>
      </c>
      <c r="V35" s="13">
        <v>16100</v>
      </c>
      <c r="W35" s="13">
        <f t="shared" si="0"/>
        <v>12880</v>
      </c>
      <c r="X35" s="13">
        <f t="shared" si="1"/>
        <v>3220</v>
      </c>
      <c r="Y35" s="14">
        <f t="shared" si="2"/>
        <v>16100</v>
      </c>
      <c r="Z35" s="15" t="s">
        <v>13</v>
      </c>
      <c r="AB35" s="6"/>
      <c r="AC35" s="6"/>
      <c r="AD35" s="3"/>
      <c r="AE35" s="74"/>
      <c r="AF35" s="76"/>
      <c r="AG35" s="3"/>
      <c r="AH35" s="3"/>
      <c r="AI35" s="3"/>
      <c r="AJ35" s="3"/>
    </row>
    <row r="36" spans="1:36" ht="14" customHeight="1" x14ac:dyDescent="0.35">
      <c r="A36" s="71" t="s">
        <v>94</v>
      </c>
      <c r="B36" s="3" t="s">
        <v>103</v>
      </c>
      <c r="C36" s="3">
        <v>1</v>
      </c>
      <c r="D36" s="63"/>
      <c r="E36" s="63"/>
      <c r="F36" s="63">
        <v>0.5</v>
      </c>
      <c r="G36" s="77">
        <f>Y19</f>
        <v>102300</v>
      </c>
      <c r="H36" s="73">
        <f t="shared" si="4"/>
        <v>51150</v>
      </c>
      <c r="I36" s="7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AD36" s="3"/>
      <c r="AF36" s="3"/>
      <c r="AG36" s="3"/>
      <c r="AH36" s="3" t="s">
        <v>104</v>
      </c>
      <c r="AI36" s="79">
        <v>0.8</v>
      </c>
      <c r="AJ36" s="3">
        <v>1</v>
      </c>
    </row>
    <row r="37" spans="1:36" ht="14.25" customHeight="1" x14ac:dyDescent="0.45">
      <c r="A37" s="71" t="s">
        <v>94</v>
      </c>
      <c r="B37" s="3" t="s">
        <v>50</v>
      </c>
      <c r="C37" s="3">
        <v>1</v>
      </c>
      <c r="D37" s="63"/>
      <c r="E37" s="63"/>
      <c r="F37" s="63">
        <v>0.5</v>
      </c>
      <c r="G37" s="77">
        <f>Y13</f>
        <v>160000</v>
      </c>
      <c r="H37" s="73">
        <f t="shared" si="4"/>
        <v>80000</v>
      </c>
      <c r="I37" s="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9" t="s">
        <v>105</v>
      </c>
      <c r="V37" s="80"/>
      <c r="W37" s="3"/>
      <c r="X37" s="3"/>
      <c r="Y37" s="3"/>
      <c r="Z37" s="3"/>
      <c r="AA37" s="3"/>
      <c r="AB37" s="4"/>
      <c r="AC37" s="3"/>
      <c r="AD37" s="3"/>
      <c r="AE37" s="3"/>
      <c r="AF37" s="3"/>
      <c r="AG37" s="3"/>
      <c r="AH37" s="3"/>
      <c r="AI37" s="79">
        <v>1</v>
      </c>
      <c r="AJ37" s="3">
        <v>2</v>
      </c>
    </row>
    <row r="38" spans="1:36" ht="14.25" customHeight="1" x14ac:dyDescent="0.35">
      <c r="A38" s="81"/>
      <c r="B38" s="81"/>
      <c r="C38" s="81"/>
      <c r="D38" s="81"/>
      <c r="E38" s="81"/>
      <c r="F38" s="81"/>
      <c r="G38" s="81"/>
      <c r="H38" s="82">
        <f>SUM(H31:H36)</f>
        <v>405197.8</v>
      </c>
      <c r="I38" s="16"/>
      <c r="J38" s="3"/>
      <c r="K38" s="3"/>
      <c r="L38" s="3"/>
      <c r="M38" s="3"/>
      <c r="N38" s="3"/>
      <c r="O38" s="3"/>
      <c r="P38" s="83"/>
      <c r="Q38" s="3"/>
      <c r="R38" s="3"/>
      <c r="S38" s="3"/>
      <c r="T38" s="3"/>
      <c r="U38" s="3">
        <v>1</v>
      </c>
      <c r="V38" s="3">
        <v>2</v>
      </c>
      <c r="W38" s="3">
        <v>3</v>
      </c>
      <c r="X38" s="3">
        <v>4</v>
      </c>
      <c r="Y38" s="3">
        <v>5</v>
      </c>
      <c r="Z38" s="3">
        <v>6</v>
      </c>
      <c r="AA38" s="3">
        <v>7</v>
      </c>
      <c r="AB38" s="4">
        <v>8</v>
      </c>
      <c r="AC38" s="3">
        <v>9</v>
      </c>
      <c r="AD38" s="3">
        <v>10</v>
      </c>
      <c r="AE38" s="3" t="s">
        <v>104</v>
      </c>
      <c r="AF38" s="3" t="s">
        <v>1</v>
      </c>
      <c r="AG38" s="3">
        <v>1</v>
      </c>
      <c r="AH38" s="3"/>
      <c r="AI38" s="79"/>
      <c r="AJ38" s="3"/>
    </row>
    <row r="39" spans="1:36" ht="14.25" customHeight="1" x14ac:dyDescent="0.35">
      <c r="A39" s="84"/>
      <c r="B39" s="84"/>
      <c r="C39" s="84"/>
      <c r="D39" s="84"/>
      <c r="E39" s="84"/>
      <c r="F39" s="84"/>
      <c r="G39" s="84"/>
      <c r="H39" s="84"/>
      <c r="J39" s="6"/>
      <c r="K39" s="3"/>
      <c r="L39" s="3"/>
      <c r="M39" s="3"/>
      <c r="N39" s="3"/>
      <c r="O39" s="3"/>
      <c r="P39" s="83"/>
      <c r="Q39" s="3"/>
      <c r="R39" s="3"/>
      <c r="S39" s="3"/>
      <c r="T39" s="3"/>
      <c r="U39" s="12"/>
      <c r="V39" s="85" t="s">
        <v>106</v>
      </c>
      <c r="W39" s="85" t="s">
        <v>107</v>
      </c>
      <c r="X39" s="85" t="s">
        <v>1</v>
      </c>
      <c r="Y39" s="85" t="s">
        <v>108</v>
      </c>
      <c r="Z39" s="85" t="s">
        <v>109</v>
      </c>
      <c r="AA39" s="9" t="s">
        <v>4</v>
      </c>
      <c r="AB39" s="10" t="s">
        <v>5</v>
      </c>
      <c r="AC39" s="10" t="s">
        <v>6</v>
      </c>
      <c r="AD39" s="86" t="s">
        <v>110</v>
      </c>
      <c r="AE39" s="6"/>
      <c r="AF39" s="3" t="s">
        <v>111</v>
      </c>
      <c r="AG39" s="3">
        <v>2</v>
      </c>
      <c r="AH39" s="3"/>
      <c r="AI39" s="3"/>
    </row>
    <row r="40" spans="1:36" ht="21" customHeight="1" x14ac:dyDescent="0.5">
      <c r="A40" s="87" t="s">
        <v>112</v>
      </c>
      <c r="B40" s="66"/>
      <c r="C40" s="66"/>
      <c r="D40" s="66"/>
      <c r="E40" s="66"/>
      <c r="F40" s="66"/>
      <c r="G40" s="66"/>
      <c r="H40" s="67"/>
      <c r="J40" s="6"/>
      <c r="K40" s="3"/>
      <c r="L40" s="3"/>
      <c r="M40" s="3"/>
      <c r="N40" s="3"/>
      <c r="O40" s="3"/>
      <c r="P40" s="3"/>
      <c r="Q40" s="3"/>
      <c r="R40" s="80"/>
      <c r="S40" s="3"/>
      <c r="T40" s="3"/>
      <c r="U40" s="88" t="s">
        <v>113</v>
      </c>
      <c r="V40" s="89">
        <f>41870745/500</f>
        <v>83741.490000000005</v>
      </c>
      <c r="W40" s="89">
        <f>10467686/120</f>
        <v>87230.71666666666</v>
      </c>
      <c r="X40" s="89">
        <f>41870745/500</f>
        <v>83741.490000000005</v>
      </c>
      <c r="Y40" s="89">
        <f>X40</f>
        <v>83741.490000000005</v>
      </c>
      <c r="Z40" s="89">
        <f>X40</f>
        <v>83741.490000000005</v>
      </c>
      <c r="AA40" s="90">
        <f>CHOOSE(MATCH($C$1,$AF$38:$AF$40,0),X40,Y40,Z40)</f>
        <v>83741.490000000005</v>
      </c>
      <c r="AB40" s="91">
        <f>AA40*0.8</f>
        <v>66993.19200000001</v>
      </c>
      <c r="AC40" s="91">
        <f>AA40*0.2</f>
        <v>16748.298000000003</v>
      </c>
      <c r="AD40" s="92">
        <f>CHOOSE(MATCH($C$2,$AI$36:$AI$37,0),AB40,AA40)</f>
        <v>83741.490000000005</v>
      </c>
      <c r="AE40" s="6"/>
      <c r="AF40" s="3" t="s">
        <v>114</v>
      </c>
      <c r="AG40" s="3">
        <v>3</v>
      </c>
      <c r="AH40" s="3"/>
      <c r="AI40" s="3"/>
    </row>
    <row r="41" spans="1:36" ht="14.25" customHeight="1" x14ac:dyDescent="0.35">
      <c r="A41" s="93"/>
      <c r="B41" s="94" t="s">
        <v>113</v>
      </c>
      <c r="C41" s="68"/>
      <c r="D41" s="68"/>
      <c r="E41" s="68"/>
      <c r="F41" s="68"/>
      <c r="G41" s="66"/>
      <c r="H41" s="67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88" t="s">
        <v>115</v>
      </c>
      <c r="V41" s="89">
        <v>7120</v>
      </c>
      <c r="W41" s="89">
        <v>7720</v>
      </c>
      <c r="X41" s="89">
        <v>7519.9999999999973</v>
      </c>
      <c r="Y41" s="89">
        <v>6659.4694540501087</v>
      </c>
      <c r="Z41" s="89">
        <v>8380.5305459498923</v>
      </c>
      <c r="AA41" s="90">
        <f t="shared" ref="AA41:AA59" si="5">CHOOSE(MATCH($C$1,$AF$38:$AF$40,0),X41,Y41,Z41)</f>
        <v>7519.9999999999973</v>
      </c>
      <c r="AB41" s="91">
        <f t="shared" ref="AB41:AB59" si="6">AA41*0.8</f>
        <v>6015.9999999999982</v>
      </c>
      <c r="AC41" s="91">
        <f t="shared" ref="AC41:AC59" si="7">AA41*0.2</f>
        <v>1503.9999999999995</v>
      </c>
      <c r="AD41" s="92">
        <f t="shared" ref="AD41:AD59" si="8">CHOOSE(MATCH($C$2,$AI$36:$AI$37,0),AB41,AA41)</f>
        <v>7519.9999999999973</v>
      </c>
      <c r="AE41" s="3"/>
      <c r="AG41" s="3"/>
      <c r="AH41" s="3"/>
      <c r="AI41" s="3"/>
    </row>
    <row r="42" spans="1:36" ht="14.25" customHeight="1" x14ac:dyDescent="0.35">
      <c r="A42" s="95"/>
      <c r="B42" s="68" t="s">
        <v>16</v>
      </c>
      <c r="C42" s="69" t="s">
        <v>116</v>
      </c>
      <c r="D42" s="69" t="s">
        <v>117</v>
      </c>
      <c r="E42" s="69" t="s">
        <v>118</v>
      </c>
      <c r="F42" s="69" t="s">
        <v>90</v>
      </c>
      <c r="G42" s="69" t="s">
        <v>91</v>
      </c>
      <c r="H42" s="70" t="s">
        <v>92</v>
      </c>
      <c r="I42" s="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88" t="s">
        <v>119</v>
      </c>
      <c r="V42" s="89">
        <v>1800</v>
      </c>
      <c r="W42" s="89">
        <v>1826.6666666666667</v>
      </c>
      <c r="X42" s="89">
        <v>1801.7777777777783</v>
      </c>
      <c r="Y42" s="89">
        <v>1797.9648236659243</v>
      </c>
      <c r="Z42" s="89">
        <v>1805.5907318896323</v>
      </c>
      <c r="AA42" s="90">
        <f t="shared" si="5"/>
        <v>1801.7777777777783</v>
      </c>
      <c r="AB42" s="91">
        <f t="shared" si="6"/>
        <v>1441.4222222222227</v>
      </c>
      <c r="AC42" s="91">
        <f t="shared" si="7"/>
        <v>360.35555555555567</v>
      </c>
      <c r="AD42" s="92">
        <f t="shared" si="8"/>
        <v>1801.7777777777783</v>
      </c>
      <c r="AE42" s="3"/>
      <c r="AF42" s="3"/>
      <c r="AG42" s="3"/>
      <c r="AH42" s="3"/>
      <c r="AI42" s="3"/>
    </row>
    <row r="43" spans="1:36" ht="14.25" customHeight="1" x14ac:dyDescent="0.35">
      <c r="A43" s="71" t="s">
        <v>120</v>
      </c>
      <c r="B43" s="3" t="s">
        <v>113</v>
      </c>
      <c r="C43" s="96">
        <v>10</v>
      </c>
      <c r="D43" s="96" t="s">
        <v>80</v>
      </c>
      <c r="E43" s="97">
        <f>IF(D43="Kg",$E$27,IF(D43="BSA",$E$26,1))*C43</f>
        <v>569.625</v>
      </c>
      <c r="F43" s="96">
        <v>1</v>
      </c>
      <c r="G43" s="72">
        <f>IFERROR(_xlfn.XLOOKUP(B43,$U$40:$U$59,$AD$40:$AD$59),0)</f>
        <v>83741.490000000005</v>
      </c>
      <c r="H43" s="73">
        <f>G43*F43*E43</f>
        <v>47701246.241250001</v>
      </c>
      <c r="I43" s="9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88" t="s">
        <v>121</v>
      </c>
      <c r="V43" s="89">
        <v>795.00000000000011</v>
      </c>
      <c r="W43" s="89">
        <v>795.00000000000011</v>
      </c>
      <c r="X43" s="89">
        <v>795.00000000000011</v>
      </c>
      <c r="Y43" s="89">
        <v>795.00000000000011</v>
      </c>
      <c r="Z43" s="89">
        <v>795.00000000000011</v>
      </c>
      <c r="AA43" s="90">
        <f t="shared" si="5"/>
        <v>795.00000000000011</v>
      </c>
      <c r="AB43" s="91">
        <f t="shared" si="6"/>
        <v>636.00000000000011</v>
      </c>
      <c r="AC43" s="91">
        <f t="shared" si="7"/>
        <v>159.00000000000003</v>
      </c>
      <c r="AD43" s="92">
        <f t="shared" si="8"/>
        <v>795.00000000000011</v>
      </c>
      <c r="AE43" s="3"/>
      <c r="AF43" s="3"/>
      <c r="AG43" s="3"/>
      <c r="AH43" s="3"/>
      <c r="AI43" s="3"/>
    </row>
    <row r="44" spans="1:36" ht="14.25" customHeight="1" x14ac:dyDescent="0.35">
      <c r="A44" s="71" t="s">
        <v>122</v>
      </c>
      <c r="B44" s="3"/>
      <c r="C44" s="3"/>
      <c r="D44" s="97"/>
      <c r="E44" s="97"/>
      <c r="F44" s="3"/>
      <c r="G44" s="72"/>
      <c r="H44" s="73"/>
      <c r="I44" s="9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88" t="s">
        <v>123</v>
      </c>
      <c r="V44" s="89">
        <v>4159.9000000000005</v>
      </c>
      <c r="W44" s="89">
        <v>4900</v>
      </c>
      <c r="X44" s="89">
        <v>4604.4678571428576</v>
      </c>
      <c r="Y44" s="89">
        <v>4521.3370296745034</v>
      </c>
      <c r="Z44" s="89">
        <v>4687.5986846112128</v>
      </c>
      <c r="AA44" s="90">
        <f t="shared" si="5"/>
        <v>4604.4678571428576</v>
      </c>
      <c r="AB44" s="91">
        <f t="shared" si="6"/>
        <v>3683.5742857142864</v>
      </c>
      <c r="AC44" s="91">
        <f t="shared" si="7"/>
        <v>920.89357142857159</v>
      </c>
      <c r="AD44" s="92">
        <f t="shared" si="8"/>
        <v>4604.4678571428576</v>
      </c>
      <c r="AE44" s="3"/>
      <c r="AF44" s="3"/>
      <c r="AG44" s="3"/>
      <c r="AH44" s="3"/>
      <c r="AI44" s="3"/>
    </row>
    <row r="45" spans="1:36" ht="14.25" customHeight="1" x14ac:dyDescent="0.35">
      <c r="A45" s="71"/>
      <c r="B45" s="3"/>
      <c r="C45" s="3"/>
      <c r="D45" s="97"/>
      <c r="E45" s="97"/>
      <c r="F45" s="3"/>
      <c r="G45" s="72"/>
      <c r="H45" s="73"/>
      <c r="I45" s="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88" t="s">
        <v>124</v>
      </c>
      <c r="V45" s="89">
        <v>19635</v>
      </c>
      <c r="W45" s="89">
        <v>19635</v>
      </c>
      <c r="X45" s="89">
        <v>19635</v>
      </c>
      <c r="Y45" s="89">
        <v>19635</v>
      </c>
      <c r="Z45" s="89">
        <v>19635</v>
      </c>
      <c r="AA45" s="90">
        <f t="shared" si="5"/>
        <v>19635</v>
      </c>
      <c r="AB45" s="91">
        <f t="shared" si="6"/>
        <v>15708</v>
      </c>
      <c r="AC45" s="91">
        <f t="shared" si="7"/>
        <v>3927</v>
      </c>
      <c r="AD45" s="92">
        <f t="shared" si="8"/>
        <v>19635</v>
      </c>
      <c r="AE45" s="3"/>
      <c r="AF45" s="3"/>
      <c r="AG45" s="3"/>
      <c r="AH45" s="3"/>
      <c r="AI45" s="3"/>
    </row>
    <row r="46" spans="1:36" ht="14.25" customHeight="1" x14ac:dyDescent="0.35">
      <c r="A46" s="74" t="s">
        <v>125</v>
      </c>
      <c r="B46" s="3" t="s">
        <v>37</v>
      </c>
      <c r="C46" s="3">
        <v>1</v>
      </c>
      <c r="D46" s="97" t="s">
        <v>126</v>
      </c>
      <c r="E46" s="97">
        <f>IF(D46="Kg",$E$27,IF(D46="BSA",$E$26,1))*C46</f>
        <v>1</v>
      </c>
      <c r="F46" s="3">
        <v>1</v>
      </c>
      <c r="G46" s="72">
        <f>Y10</f>
        <v>70305</v>
      </c>
      <c r="H46" s="73">
        <f>G46*F46*E46</f>
        <v>70305</v>
      </c>
      <c r="I46" s="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88" t="s">
        <v>127</v>
      </c>
      <c r="V46" s="89">
        <v>871.5</v>
      </c>
      <c r="W46" s="89">
        <v>1099.9800000000002</v>
      </c>
      <c r="X46" s="89">
        <v>969.95294117647063</v>
      </c>
      <c r="Y46" s="89">
        <v>931.69101158094827</v>
      </c>
      <c r="Z46" s="89">
        <v>1008.214870771993</v>
      </c>
      <c r="AA46" s="90">
        <f t="shared" si="5"/>
        <v>969.95294117647063</v>
      </c>
      <c r="AB46" s="91">
        <f t="shared" si="6"/>
        <v>775.9623529411765</v>
      </c>
      <c r="AC46" s="91">
        <f t="shared" si="7"/>
        <v>193.99058823529413</v>
      </c>
      <c r="AD46" s="92">
        <f t="shared" si="8"/>
        <v>969.95294117647063</v>
      </c>
      <c r="AE46" s="3"/>
      <c r="AF46" s="3"/>
      <c r="AG46" s="3"/>
      <c r="AH46" s="3"/>
      <c r="AI46" s="3"/>
    </row>
    <row r="47" spans="1:36" ht="14.25" customHeight="1" x14ac:dyDescent="0.35">
      <c r="A47" s="74"/>
      <c r="B47" s="3" t="s">
        <v>128</v>
      </c>
      <c r="C47" s="99">
        <f>E43</f>
        <v>569.625</v>
      </c>
      <c r="D47" s="97" t="s">
        <v>126</v>
      </c>
      <c r="E47" s="97">
        <f>IF(D47="Kg",$E$27,IF(D47="BSA",$E$26,1))*C47</f>
        <v>569.625</v>
      </c>
      <c r="F47" s="3">
        <v>1</v>
      </c>
      <c r="G47" s="72">
        <f>IFERROR(_xlfn.XLOOKUP(B47,$U$40:$U$59,$AD$40:$AD$59),0)</f>
        <v>34.611980000000003</v>
      </c>
      <c r="H47" s="73">
        <f>G47*F47*E47</f>
        <v>19715.849107500002</v>
      </c>
      <c r="I47" s="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88" t="s">
        <v>129</v>
      </c>
      <c r="V47" s="89">
        <f>X47</f>
        <v>68000</v>
      </c>
      <c r="W47" s="89">
        <f>X47</f>
        <v>68000</v>
      </c>
      <c r="X47" s="89">
        <v>68000</v>
      </c>
      <c r="Y47" s="89">
        <f>X47</f>
        <v>68000</v>
      </c>
      <c r="Z47" s="89">
        <f>Y47</f>
        <v>68000</v>
      </c>
      <c r="AA47" s="90">
        <f t="shared" si="5"/>
        <v>68000</v>
      </c>
      <c r="AB47" s="91">
        <f t="shared" si="6"/>
        <v>54400</v>
      </c>
      <c r="AC47" s="91">
        <f t="shared" si="7"/>
        <v>13600</v>
      </c>
      <c r="AD47" s="92">
        <f t="shared" si="8"/>
        <v>68000</v>
      </c>
      <c r="AE47" s="3"/>
      <c r="AF47" s="3"/>
      <c r="AG47" s="3"/>
      <c r="AH47" s="3"/>
      <c r="AI47" s="3"/>
    </row>
    <row r="48" spans="1:36" ht="14.25" customHeight="1" x14ac:dyDescent="0.35">
      <c r="A48" s="71"/>
      <c r="B48" s="3" t="s">
        <v>130</v>
      </c>
      <c r="C48" s="3">
        <v>1</v>
      </c>
      <c r="D48" s="97" t="s">
        <v>126</v>
      </c>
      <c r="E48" s="97">
        <f>IF(D48="Kg",$E$27,IF(D48="BSA",$E$26,1))*C48</f>
        <v>1</v>
      </c>
      <c r="F48" s="3">
        <v>1</v>
      </c>
      <c r="G48" s="72">
        <f>Y27</f>
        <v>21400</v>
      </c>
      <c r="H48" s="73">
        <f>G48*F48*E48</f>
        <v>21400</v>
      </c>
      <c r="I48" s="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8" t="s">
        <v>131</v>
      </c>
      <c r="V48" s="89">
        <v>16099.75</v>
      </c>
      <c r="W48" s="89">
        <v>17574.5</v>
      </c>
      <c r="X48" s="89">
        <v>16707.086363636357</v>
      </c>
      <c r="Y48" s="89">
        <v>16309.100476511308</v>
      </c>
      <c r="Z48" s="89">
        <v>17105.072250761405</v>
      </c>
      <c r="AA48" s="90">
        <f t="shared" si="5"/>
        <v>16707.086363636357</v>
      </c>
      <c r="AB48" s="91">
        <f t="shared" si="6"/>
        <v>13365.669090909087</v>
      </c>
      <c r="AC48" s="91">
        <f t="shared" si="7"/>
        <v>3341.4172727272717</v>
      </c>
      <c r="AD48" s="92">
        <f t="shared" si="8"/>
        <v>16707.086363636357</v>
      </c>
      <c r="AE48" s="3"/>
      <c r="AF48" s="3"/>
      <c r="AG48" s="3"/>
      <c r="AH48" s="3"/>
      <c r="AI48" s="3"/>
    </row>
    <row r="49" spans="1:35" ht="14.25" customHeight="1" x14ac:dyDescent="0.35">
      <c r="A49" s="71"/>
      <c r="B49" s="3"/>
      <c r="C49" s="3"/>
      <c r="D49" s="3"/>
      <c r="E49" s="3"/>
      <c r="F49" s="3"/>
      <c r="G49" s="100"/>
      <c r="H49" s="73">
        <f>SUM(H43:H48)</f>
        <v>47812667.090357497</v>
      </c>
      <c r="I49" s="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8" t="s">
        <v>132</v>
      </c>
      <c r="V49" s="89">
        <v>38325.000000000007</v>
      </c>
      <c r="W49" s="89">
        <v>46000</v>
      </c>
      <c r="X49" s="89">
        <v>40795</v>
      </c>
      <c r="Y49" s="89">
        <v>36393.798082713758</v>
      </c>
      <c r="Z49" s="89">
        <v>45196.201917286242</v>
      </c>
      <c r="AA49" s="90">
        <f t="shared" si="5"/>
        <v>40795</v>
      </c>
      <c r="AB49" s="91">
        <f t="shared" si="6"/>
        <v>32636</v>
      </c>
      <c r="AC49" s="91">
        <f t="shared" si="7"/>
        <v>8159</v>
      </c>
      <c r="AD49" s="92">
        <f t="shared" si="8"/>
        <v>40795</v>
      </c>
      <c r="AE49" s="3"/>
      <c r="AF49" s="3"/>
      <c r="AG49" s="3"/>
      <c r="AH49" s="3"/>
      <c r="AI49" s="3"/>
    </row>
    <row r="50" spans="1:35" ht="20" customHeight="1" x14ac:dyDescent="0.45">
      <c r="A50" s="101" t="s">
        <v>133</v>
      </c>
      <c r="B50" s="101"/>
      <c r="C50" s="101"/>
      <c r="D50" s="101"/>
      <c r="E50" s="101"/>
      <c r="F50" s="101"/>
      <c r="G50" s="101"/>
      <c r="H50" s="101"/>
      <c r="I50" s="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8" t="s">
        <v>134</v>
      </c>
      <c r="V50" s="89">
        <v>2250</v>
      </c>
      <c r="W50" s="89">
        <v>2250</v>
      </c>
      <c r="X50" s="89">
        <v>2250</v>
      </c>
      <c r="Y50" s="89">
        <v>2250</v>
      </c>
      <c r="Z50" s="89">
        <v>2250</v>
      </c>
      <c r="AA50" s="90">
        <f t="shared" si="5"/>
        <v>2250</v>
      </c>
      <c r="AB50" s="91">
        <f t="shared" si="6"/>
        <v>1800</v>
      </c>
      <c r="AC50" s="91">
        <f t="shared" si="7"/>
        <v>450</v>
      </c>
      <c r="AD50" s="92">
        <f t="shared" si="8"/>
        <v>2250</v>
      </c>
      <c r="AE50" s="3"/>
      <c r="AF50" s="3"/>
      <c r="AG50" s="3"/>
      <c r="AH50" s="3"/>
      <c r="AI50" s="3"/>
    </row>
    <row r="51" spans="1:35" ht="14.25" customHeight="1" x14ac:dyDescent="0.35">
      <c r="A51" s="93"/>
      <c r="B51" s="94" t="s">
        <v>135</v>
      </c>
      <c r="C51" s="68"/>
      <c r="D51" s="68"/>
      <c r="E51" s="68"/>
      <c r="F51" s="68"/>
      <c r="G51" s="66"/>
      <c r="H51" s="67"/>
      <c r="I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88" t="s">
        <v>136</v>
      </c>
      <c r="V51" s="89">
        <v>17561.25</v>
      </c>
      <c r="W51" s="89">
        <v>17561.25</v>
      </c>
      <c r="X51" s="89">
        <v>17561.25</v>
      </c>
      <c r="Y51" s="89">
        <v>17561.25</v>
      </c>
      <c r="Z51" s="89">
        <v>17561.25</v>
      </c>
      <c r="AA51" s="90">
        <f t="shared" si="5"/>
        <v>17561.25</v>
      </c>
      <c r="AB51" s="91">
        <f t="shared" si="6"/>
        <v>14049</v>
      </c>
      <c r="AC51" s="91">
        <f t="shared" si="7"/>
        <v>3512.25</v>
      </c>
      <c r="AD51" s="92">
        <f t="shared" si="8"/>
        <v>17561.25</v>
      </c>
      <c r="AE51" s="3"/>
      <c r="AF51" s="3"/>
      <c r="AG51" s="3"/>
      <c r="AH51" s="3"/>
      <c r="AI51" s="3"/>
    </row>
    <row r="52" spans="1:35" ht="14.25" customHeight="1" x14ac:dyDescent="0.35">
      <c r="A52" s="95"/>
      <c r="B52" s="68" t="s">
        <v>16</v>
      </c>
      <c r="C52" s="69" t="s">
        <v>116</v>
      </c>
      <c r="D52" s="69" t="s">
        <v>117</v>
      </c>
      <c r="E52" s="69" t="s">
        <v>118</v>
      </c>
      <c r="F52" s="69" t="s">
        <v>90</v>
      </c>
      <c r="G52" s="69" t="s">
        <v>91</v>
      </c>
      <c r="H52" s="70" t="s">
        <v>92</v>
      </c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88" t="s">
        <v>128</v>
      </c>
      <c r="V52" s="89">
        <v>9</v>
      </c>
      <c r="W52" s="89">
        <v>168</v>
      </c>
      <c r="X52" s="89">
        <v>34.611980000000003</v>
      </c>
      <c r="Y52" s="89">
        <v>31.677763844177157</v>
      </c>
      <c r="Z52" s="89">
        <v>37.546196155822848</v>
      </c>
      <c r="AA52" s="90">
        <f t="shared" si="5"/>
        <v>34.611980000000003</v>
      </c>
      <c r="AB52" s="91">
        <f t="shared" si="6"/>
        <v>27.689584000000004</v>
      </c>
      <c r="AC52" s="91">
        <f t="shared" si="7"/>
        <v>6.9223960000000009</v>
      </c>
      <c r="AD52" s="92">
        <f t="shared" si="8"/>
        <v>34.611980000000003</v>
      </c>
      <c r="AE52" s="3"/>
      <c r="AF52" s="3"/>
      <c r="AG52" s="3"/>
      <c r="AH52" s="3"/>
      <c r="AI52" s="3"/>
    </row>
    <row r="53" spans="1:35" ht="14.25" customHeight="1" x14ac:dyDescent="0.35">
      <c r="A53" s="71" t="s">
        <v>120</v>
      </c>
      <c r="B53" s="3" t="s">
        <v>115</v>
      </c>
      <c r="C53" s="97">
        <v>200</v>
      </c>
      <c r="D53" s="97" t="s">
        <v>78</v>
      </c>
      <c r="E53" s="102">
        <f>IF(D53="Kg",$E$27,IF(D53="BSA",$E$26,1))*C53</f>
        <v>321.16577104054784</v>
      </c>
      <c r="F53" s="97">
        <v>1</v>
      </c>
      <c r="G53" s="72">
        <f>IFERROR(_xlfn.XLOOKUP(B53,$U$40:$U$59,$AD$40:$AD$59),0)</f>
        <v>7519.9999999999973</v>
      </c>
      <c r="H53" s="73">
        <f t="shared" ref="H53:H62" si="9">G53*F53*E53</f>
        <v>2415166.5982249188</v>
      </c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88" t="s">
        <v>137</v>
      </c>
      <c r="V53" s="89">
        <v>11.5</v>
      </c>
      <c r="W53" s="103">
        <v>2000</v>
      </c>
      <c r="X53" s="89">
        <v>126.29861111111111</v>
      </c>
      <c r="Y53" s="89">
        <v>29.36913424581202</v>
      </c>
      <c r="Z53" s="89">
        <v>223.22808797641022</v>
      </c>
      <c r="AA53" s="90">
        <f t="shared" si="5"/>
        <v>126.29861111111111</v>
      </c>
      <c r="AB53" s="91">
        <f t="shared" si="6"/>
        <v>101.03888888888889</v>
      </c>
      <c r="AC53" s="91">
        <f t="shared" si="7"/>
        <v>25.259722222222223</v>
      </c>
      <c r="AD53" s="92">
        <f t="shared" si="8"/>
        <v>126.29861111111111</v>
      </c>
      <c r="AE53" s="3"/>
      <c r="AF53" s="3"/>
      <c r="AG53" s="3"/>
      <c r="AH53" s="3"/>
      <c r="AI53" s="3"/>
    </row>
    <row r="54" spans="1:35" ht="14.25" customHeight="1" x14ac:dyDescent="0.35">
      <c r="A54" s="95"/>
      <c r="B54" s="3" t="s">
        <v>119</v>
      </c>
      <c r="C54" s="97">
        <v>300</v>
      </c>
      <c r="D54" s="97" t="s">
        <v>138</v>
      </c>
      <c r="E54" s="102">
        <f>IF(D54="Kg",$E$27,IF(D54="BSA",$E$26,1))*C54</f>
        <v>300</v>
      </c>
      <c r="F54" s="97">
        <v>1</v>
      </c>
      <c r="G54" s="72">
        <f>IFERROR(_xlfn.XLOOKUP(B54,$U$40:$U$59,$AD$40:$AD$59),0)</f>
        <v>1801.7777777777783</v>
      </c>
      <c r="H54" s="73">
        <f t="shared" si="9"/>
        <v>540533.33333333349</v>
      </c>
      <c r="I54" s="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88" t="s">
        <v>139</v>
      </c>
      <c r="V54" s="89">
        <v>112</v>
      </c>
      <c r="W54" s="89">
        <v>264</v>
      </c>
      <c r="X54" s="89">
        <v>153.88239999999999</v>
      </c>
      <c r="Y54" s="89">
        <v>128.01409089404004</v>
      </c>
      <c r="Z54" s="89">
        <v>179.75070910595994</v>
      </c>
      <c r="AA54" s="90">
        <f t="shared" si="5"/>
        <v>153.88239999999999</v>
      </c>
      <c r="AB54" s="91">
        <f t="shared" si="6"/>
        <v>123.10592</v>
      </c>
      <c r="AC54" s="91">
        <f t="shared" si="7"/>
        <v>30.776479999999999</v>
      </c>
      <c r="AD54" s="92">
        <f t="shared" si="8"/>
        <v>153.88239999999999</v>
      </c>
      <c r="AE54" s="3"/>
      <c r="AF54" s="3"/>
      <c r="AG54" s="3"/>
      <c r="AH54" s="3"/>
      <c r="AI54" s="3"/>
    </row>
    <row r="55" spans="1:35" ht="14.25" customHeight="1" x14ac:dyDescent="0.35">
      <c r="A55" s="71" t="s">
        <v>122</v>
      </c>
      <c r="B55" s="3" t="s">
        <v>137</v>
      </c>
      <c r="C55" s="97">
        <v>10</v>
      </c>
      <c r="D55" s="97" t="s">
        <v>126</v>
      </c>
      <c r="E55" s="102">
        <f>IF(D55="Kg",$E$27,IF(D55="BSA",$E$26,1))*C55</f>
        <v>10</v>
      </c>
      <c r="F55" s="97">
        <v>1</v>
      </c>
      <c r="G55" s="72">
        <f>IFERROR(_xlfn.XLOOKUP(B55,$U$40:$U$59,$AD$40:$AD$59),0)</f>
        <v>126.29861111111111</v>
      </c>
      <c r="H55" s="73">
        <f t="shared" si="9"/>
        <v>1262.9861111111111</v>
      </c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88" t="s">
        <v>140</v>
      </c>
      <c r="V55" s="89">
        <v>537.5</v>
      </c>
      <c r="W55" s="89">
        <v>4375</v>
      </c>
      <c r="X55" s="89">
        <v>2187.3440000000001</v>
      </c>
      <c r="Y55" s="89">
        <v>1631.8633400000001</v>
      </c>
      <c r="Z55" s="89">
        <v>2742.8246600000002</v>
      </c>
      <c r="AA55" s="90">
        <f t="shared" si="5"/>
        <v>2187.3440000000001</v>
      </c>
      <c r="AB55" s="91">
        <f t="shared" si="6"/>
        <v>1749.8752000000002</v>
      </c>
      <c r="AC55" s="91">
        <f t="shared" si="7"/>
        <v>437.46880000000004</v>
      </c>
      <c r="AD55" s="92">
        <f t="shared" si="8"/>
        <v>2187.3440000000001</v>
      </c>
      <c r="AE55" s="3"/>
      <c r="AF55" s="3"/>
      <c r="AG55" s="3"/>
      <c r="AH55" s="3"/>
      <c r="AI55" s="3"/>
    </row>
    <row r="56" spans="1:35" ht="14.25" customHeight="1" x14ac:dyDescent="0.35">
      <c r="A56" s="3"/>
      <c r="B56" s="3" t="s">
        <v>139</v>
      </c>
      <c r="C56" s="97">
        <v>10</v>
      </c>
      <c r="D56" s="97" t="s">
        <v>126</v>
      </c>
      <c r="E56" s="102">
        <f>IF(D56="Kg",$E$27,IF(D56="BSA",$E$26,1))*C56</f>
        <v>10</v>
      </c>
      <c r="F56" s="97">
        <v>1</v>
      </c>
      <c r="G56" s="72">
        <f>IFERROR(_xlfn.XLOOKUP(B56,$U$40:$U$59,$AD$40:$AD$59),0)</f>
        <v>153.88239999999999</v>
      </c>
      <c r="H56" s="73">
        <f t="shared" si="9"/>
        <v>1538.8239999999998</v>
      </c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88" t="s">
        <v>141</v>
      </c>
      <c r="V56" s="89">
        <v>14.706</v>
      </c>
      <c r="W56" s="89">
        <v>86.1</v>
      </c>
      <c r="X56" s="89">
        <v>41.907170000000001</v>
      </c>
      <c r="Y56" s="89">
        <v>35.950707561191763</v>
      </c>
      <c r="Z56" s="89">
        <v>47.863632438808239</v>
      </c>
      <c r="AA56" s="90">
        <f t="shared" si="5"/>
        <v>41.907170000000001</v>
      </c>
      <c r="AB56" s="91">
        <f t="shared" si="6"/>
        <v>33.525736000000002</v>
      </c>
      <c r="AC56" s="91">
        <f t="shared" si="7"/>
        <v>8.3814340000000005</v>
      </c>
      <c r="AD56" s="92">
        <f t="shared" si="8"/>
        <v>41.907170000000001</v>
      </c>
      <c r="AE56" s="3"/>
      <c r="AF56" s="3"/>
      <c r="AG56" s="3"/>
      <c r="AH56" s="3"/>
      <c r="AI56" s="3"/>
    </row>
    <row r="57" spans="1:35" ht="14.25" customHeight="1" x14ac:dyDescent="0.35">
      <c r="A57" s="3"/>
      <c r="B57" s="3" t="s">
        <v>140</v>
      </c>
      <c r="C57" s="97">
        <v>8</v>
      </c>
      <c r="D57" s="97" t="s">
        <v>126</v>
      </c>
      <c r="E57" s="102">
        <f>IF(D57="Kg",$E$27,IF(D57="BSA",$E$26,1))*C57</f>
        <v>8</v>
      </c>
      <c r="F57" s="97">
        <v>1</v>
      </c>
      <c r="G57" s="72">
        <f>IFERROR(_xlfn.XLOOKUP(B57,$U$40:$U$59,$AD$40:$AD$59),0)</f>
        <v>2187.3440000000001</v>
      </c>
      <c r="H57" s="73">
        <f t="shared" si="9"/>
        <v>17498.752</v>
      </c>
      <c r="I57" s="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88" t="s">
        <v>142</v>
      </c>
      <c r="V57" s="89">
        <v>103</v>
      </c>
      <c r="W57" s="89">
        <v>7325.1</v>
      </c>
      <c r="X57" s="89">
        <v>3065.3679653679651</v>
      </c>
      <c r="Y57" s="89">
        <v>990.44991069404523</v>
      </c>
      <c r="Z57" s="89">
        <v>5140.2860200418854</v>
      </c>
      <c r="AA57" s="90">
        <f t="shared" si="5"/>
        <v>3065.3679653679651</v>
      </c>
      <c r="AB57" s="91">
        <f t="shared" si="6"/>
        <v>2452.2943722943724</v>
      </c>
      <c r="AC57" s="91">
        <f t="shared" si="7"/>
        <v>613.07359307359309</v>
      </c>
      <c r="AD57" s="92">
        <f t="shared" si="8"/>
        <v>3065.3679653679651</v>
      </c>
      <c r="AE57" s="3"/>
      <c r="AF57" s="3"/>
      <c r="AG57" s="3"/>
      <c r="AH57" s="3"/>
      <c r="AI57" s="3"/>
    </row>
    <row r="58" spans="1:35" ht="14.25" customHeight="1" x14ac:dyDescent="0.35">
      <c r="A58" s="3"/>
      <c r="B58" s="3"/>
      <c r="C58" s="97"/>
      <c r="D58" s="97"/>
      <c r="E58" s="102"/>
      <c r="F58" s="97"/>
      <c r="G58" s="72"/>
      <c r="H58" s="73">
        <f t="shared" si="9"/>
        <v>0</v>
      </c>
      <c r="I58" s="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8" t="s">
        <v>143</v>
      </c>
      <c r="V58">
        <v>8.3028999999999993</v>
      </c>
      <c r="W58">
        <v>1150</v>
      </c>
      <c r="X58" s="89">
        <v>105.45415840978593</v>
      </c>
      <c r="Y58" s="89">
        <v>85.668522459709934</v>
      </c>
      <c r="Z58" s="89">
        <v>125.23979435986193</v>
      </c>
      <c r="AA58" s="90">
        <f t="shared" si="5"/>
        <v>105.45415840978593</v>
      </c>
      <c r="AB58" s="91">
        <f t="shared" si="6"/>
        <v>84.363326727828749</v>
      </c>
      <c r="AC58" s="91">
        <f t="shared" si="7"/>
        <v>21.090831681957187</v>
      </c>
      <c r="AD58" s="92">
        <f t="shared" si="8"/>
        <v>105.45415840978593</v>
      </c>
      <c r="AE58" s="3"/>
      <c r="AF58" s="3"/>
      <c r="AG58" s="3"/>
      <c r="AH58" s="3"/>
      <c r="AI58" s="3"/>
    </row>
    <row r="59" spans="1:35" ht="14.25" customHeight="1" x14ac:dyDescent="0.35">
      <c r="A59" s="74" t="s">
        <v>125</v>
      </c>
      <c r="B59" s="3" t="s">
        <v>37</v>
      </c>
      <c r="C59" s="97">
        <v>1</v>
      </c>
      <c r="D59" s="97" t="s">
        <v>126</v>
      </c>
      <c r="E59" s="102">
        <f>IF(D59="Kg",$E$27,IF(D59="BSA",$E$26,1))*C59</f>
        <v>1</v>
      </c>
      <c r="F59" s="3">
        <v>2</v>
      </c>
      <c r="G59" s="72">
        <f>Y10</f>
        <v>70305</v>
      </c>
      <c r="H59" s="73">
        <f t="shared" si="9"/>
        <v>140610</v>
      </c>
      <c r="I59" s="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 t="s">
        <v>144</v>
      </c>
      <c r="V59">
        <v>42</v>
      </c>
      <c r="W59">
        <v>228</v>
      </c>
      <c r="X59" s="89">
        <v>95.709090909090932</v>
      </c>
      <c r="Y59" s="89">
        <v>61.522342160633031</v>
      </c>
      <c r="Z59" s="89">
        <v>129.89583965754883</v>
      </c>
      <c r="AA59" s="90">
        <f t="shared" si="5"/>
        <v>95.709090909090932</v>
      </c>
      <c r="AB59" s="91">
        <f t="shared" si="6"/>
        <v>76.567272727272751</v>
      </c>
      <c r="AC59" s="91">
        <f t="shared" si="7"/>
        <v>19.141818181818188</v>
      </c>
      <c r="AD59" s="92">
        <f t="shared" si="8"/>
        <v>95.709090909090932</v>
      </c>
      <c r="AE59" s="3"/>
      <c r="AF59" s="3"/>
      <c r="AG59" s="3"/>
      <c r="AH59" s="3"/>
      <c r="AI59" s="3"/>
    </row>
    <row r="60" spans="1:35" ht="14.25" customHeight="1" x14ac:dyDescent="0.35">
      <c r="A60" s="74"/>
      <c r="B60" s="3" t="s">
        <v>128</v>
      </c>
      <c r="C60" s="97">
        <v>500</v>
      </c>
      <c r="D60" s="97" t="s">
        <v>126</v>
      </c>
      <c r="E60" s="102">
        <f>IF(D60="Kg",$E$27,IF(D60="BSA",$E$26,1))*C60</f>
        <v>500</v>
      </c>
      <c r="F60" s="3">
        <v>1</v>
      </c>
      <c r="G60" s="72">
        <f t="shared" ref="G60:G61" si="10">IFERROR(_xlfn.XLOOKUP(B60,$U$40:$U$59,$AD$40:$AD$59),0)</f>
        <v>34.611980000000003</v>
      </c>
      <c r="H60" s="73">
        <f t="shared" si="9"/>
        <v>17305.990000000002</v>
      </c>
      <c r="I60" s="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88"/>
      <c r="V60" s="89"/>
      <c r="W60" s="89"/>
      <c r="X60" s="89"/>
      <c r="Y60" s="89"/>
      <c r="Z60" s="89"/>
      <c r="AA60" s="104"/>
      <c r="AB60" s="105"/>
      <c r="AC60" s="105"/>
      <c r="AD60" s="106"/>
      <c r="AE60" s="3"/>
      <c r="AF60" s="3"/>
      <c r="AG60" s="3"/>
      <c r="AH60" s="3"/>
      <c r="AI60" s="3"/>
    </row>
    <row r="61" spans="1:35" ht="14.25" customHeight="1" x14ac:dyDescent="0.35">
      <c r="A61" s="74"/>
      <c r="B61" s="3" t="s">
        <v>141</v>
      </c>
      <c r="C61" s="97">
        <v>500</v>
      </c>
      <c r="D61" s="97" t="s">
        <v>126</v>
      </c>
      <c r="E61" s="102">
        <f>IF(D61="Kg",$E$27,IF(D61="BSA",$E$26,1))*C61</f>
        <v>500</v>
      </c>
      <c r="F61" s="3">
        <v>1</v>
      </c>
      <c r="G61" s="72">
        <f t="shared" si="10"/>
        <v>41.907170000000001</v>
      </c>
      <c r="H61" s="73">
        <f t="shared" si="9"/>
        <v>20953.584999999999</v>
      </c>
      <c r="I61" s="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88"/>
      <c r="V61" s="89"/>
      <c r="W61" s="89"/>
      <c r="X61" s="89"/>
      <c r="Y61" s="89"/>
      <c r="Z61" s="89"/>
      <c r="AA61" s="104"/>
      <c r="AB61" s="105"/>
      <c r="AC61" s="105"/>
      <c r="AD61" s="106"/>
      <c r="AE61" s="3"/>
      <c r="AF61" s="3"/>
      <c r="AG61" s="3"/>
      <c r="AH61" s="3"/>
      <c r="AI61" s="3"/>
    </row>
    <row r="62" spans="1:35" ht="14.25" customHeight="1" x14ac:dyDescent="0.35">
      <c r="A62" s="74"/>
      <c r="B62" s="3" t="s">
        <v>130</v>
      </c>
      <c r="C62" s="97">
        <v>1</v>
      </c>
      <c r="D62" s="97" t="s">
        <v>126</v>
      </c>
      <c r="E62" s="107">
        <f>IF(D62="Kg",$E$27,IF(D62="BSA",$E$26,1))*C62</f>
        <v>1</v>
      </c>
      <c r="F62" s="3">
        <v>2</v>
      </c>
      <c r="G62" s="72">
        <f>Y27</f>
        <v>21400</v>
      </c>
      <c r="H62" s="73">
        <f t="shared" si="9"/>
        <v>42800</v>
      </c>
      <c r="I62" s="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88"/>
      <c r="V62" s="89"/>
      <c r="W62" s="89"/>
      <c r="X62" s="89"/>
      <c r="Y62" s="89"/>
      <c r="Z62" s="89"/>
      <c r="AA62" s="104"/>
      <c r="AB62" s="105"/>
      <c r="AC62" s="105"/>
      <c r="AD62" s="106"/>
      <c r="AE62" s="3"/>
      <c r="AF62" s="3"/>
      <c r="AG62" s="3"/>
      <c r="AH62" s="3"/>
      <c r="AI62" s="3"/>
    </row>
    <row r="63" spans="1:35" ht="14.25" customHeight="1" x14ac:dyDescent="0.35">
      <c r="A63" s="81"/>
      <c r="B63" s="81"/>
      <c r="C63" s="81"/>
      <c r="D63" s="81"/>
      <c r="E63" s="81"/>
      <c r="F63" s="81"/>
      <c r="G63" s="81"/>
      <c r="H63" s="82">
        <f>SUM(H53:H62)</f>
        <v>3197670.0686693634</v>
      </c>
      <c r="I63" s="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88"/>
      <c r="V63" s="89"/>
      <c r="W63" s="89"/>
      <c r="X63" s="89"/>
      <c r="Y63" s="89"/>
      <c r="Z63" s="89"/>
      <c r="AA63" s="104"/>
      <c r="AB63" s="105"/>
      <c r="AC63" s="105"/>
      <c r="AD63" s="106"/>
      <c r="AE63" s="3"/>
      <c r="AF63" s="3"/>
      <c r="AG63" s="3"/>
      <c r="AH63" s="3"/>
      <c r="AI63" s="3"/>
    </row>
    <row r="64" spans="1:35" ht="14.25" customHeight="1" x14ac:dyDescent="0.35">
      <c r="A64" s="93"/>
      <c r="B64" s="94" t="s">
        <v>145</v>
      </c>
      <c r="C64" s="68"/>
      <c r="D64" s="68"/>
      <c r="E64" s="68"/>
      <c r="F64" s="66"/>
      <c r="G64" s="66"/>
      <c r="H64" s="67"/>
      <c r="I64" s="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88"/>
      <c r="V64" s="89"/>
      <c r="W64" s="89"/>
      <c r="X64" s="89"/>
      <c r="Y64" s="89"/>
      <c r="Z64" s="89"/>
      <c r="AA64" s="104"/>
      <c r="AB64" s="105"/>
      <c r="AC64" s="105"/>
      <c r="AD64" s="106"/>
      <c r="AE64" s="3"/>
      <c r="AF64" s="3"/>
      <c r="AG64" s="3"/>
      <c r="AH64" s="3"/>
      <c r="AI64" s="3"/>
    </row>
    <row r="65" spans="1:59" ht="14.25" customHeight="1" x14ac:dyDescent="0.35">
      <c r="A65" s="95"/>
      <c r="B65" s="68" t="s">
        <v>16</v>
      </c>
      <c r="C65" s="69" t="s">
        <v>116</v>
      </c>
      <c r="D65" s="69" t="s">
        <v>117</v>
      </c>
      <c r="E65" s="69" t="s">
        <v>118</v>
      </c>
      <c r="F65" s="69" t="s">
        <v>90</v>
      </c>
      <c r="G65" s="69" t="s">
        <v>91</v>
      </c>
      <c r="H65" s="70" t="s">
        <v>92</v>
      </c>
      <c r="I65" s="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88"/>
      <c r="V65" s="89"/>
      <c r="W65" s="89"/>
      <c r="X65" s="89"/>
      <c r="Y65" s="89"/>
      <c r="Z65" s="89"/>
      <c r="AA65" s="104"/>
      <c r="AB65" s="105"/>
      <c r="AC65" s="105"/>
      <c r="AD65" s="106"/>
      <c r="AE65" s="3"/>
      <c r="AF65" s="3"/>
      <c r="AG65" s="3"/>
      <c r="AH65" s="3"/>
      <c r="AI65" s="3"/>
    </row>
    <row r="66" spans="1:59" s="110" customFormat="1" ht="14.25" customHeight="1" x14ac:dyDescent="0.35">
      <c r="A66" s="71" t="s">
        <v>120</v>
      </c>
      <c r="B66" s="74" t="s">
        <v>123</v>
      </c>
      <c r="C66" s="74">
        <v>75</v>
      </c>
      <c r="D66" s="96" t="s">
        <v>78</v>
      </c>
      <c r="E66" s="102">
        <f>IF(D66="Kg",$E$27,IF(D66="BSA",$E$26,1))*C66</f>
        <v>120.43716414020544</v>
      </c>
      <c r="F66" s="96">
        <v>1</v>
      </c>
      <c r="G66" s="72">
        <f t="shared" ref="G66:G69" si="11">IFERROR(_xlfn.XLOOKUP(B66,$U$40:$U$59,$AD$40:$AD$59),0)</f>
        <v>4604.4678571428576</v>
      </c>
      <c r="H66" s="73">
        <f t="shared" ref="H66:H73" si="12">G66*F66*E66</f>
        <v>554549.05108901439</v>
      </c>
      <c r="I66" s="108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88"/>
      <c r="V66" s="89"/>
      <c r="W66" s="89"/>
      <c r="X66" s="89"/>
      <c r="Y66" s="89"/>
      <c r="Z66" s="89"/>
      <c r="AA66" s="104"/>
      <c r="AB66" s="105"/>
      <c r="AC66" s="105"/>
      <c r="AD66" s="106"/>
      <c r="AE66" s="74"/>
      <c r="AF66" s="74"/>
      <c r="AG66" s="74"/>
      <c r="AH66" s="74"/>
      <c r="AI66" s="74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</row>
    <row r="67" spans="1:59" s="110" customFormat="1" ht="14.25" customHeight="1" x14ac:dyDescent="0.35">
      <c r="A67" s="71"/>
      <c r="B67" s="74" t="s">
        <v>124</v>
      </c>
      <c r="C67" s="74">
        <v>500</v>
      </c>
      <c r="D67" s="96" t="s">
        <v>78</v>
      </c>
      <c r="E67" s="102">
        <f>IF(D67="Kg",$E$27,IF(D67="BSA",$E$26,1))*C67</f>
        <v>802.91442760136954</v>
      </c>
      <c r="F67" s="74">
        <v>1</v>
      </c>
      <c r="G67" s="72">
        <f t="shared" si="11"/>
        <v>19635</v>
      </c>
      <c r="H67" s="73">
        <f t="shared" si="12"/>
        <v>15765224.78595289</v>
      </c>
      <c r="I67" s="108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88"/>
      <c r="V67" s="89"/>
      <c r="W67" s="89"/>
      <c r="X67" s="89"/>
      <c r="Y67" s="89"/>
      <c r="Z67" s="89"/>
      <c r="AA67" s="104"/>
      <c r="AB67" s="105"/>
      <c r="AC67" s="105"/>
      <c r="AD67" s="106"/>
      <c r="AE67" s="74"/>
      <c r="AF67" s="74"/>
      <c r="AG67" s="74"/>
      <c r="AH67" s="74"/>
      <c r="AI67" s="74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</row>
    <row r="68" spans="1:59" ht="14.25" customHeight="1" x14ac:dyDescent="0.35">
      <c r="A68" s="71" t="s">
        <v>122</v>
      </c>
      <c r="B68" s="3" t="s">
        <v>139</v>
      </c>
      <c r="C68" s="3">
        <v>4</v>
      </c>
      <c r="D68" s="97" t="s">
        <v>126</v>
      </c>
      <c r="E68" s="102">
        <f>IF(D68="Kg",$E$27,IF(D68="BSA",$E$26,1))*C68</f>
        <v>4</v>
      </c>
      <c r="F68" s="3">
        <v>2</v>
      </c>
      <c r="G68" s="72">
        <f t="shared" si="11"/>
        <v>153.88239999999999</v>
      </c>
      <c r="H68" s="73">
        <f t="shared" si="12"/>
        <v>1231.0591999999999</v>
      </c>
      <c r="I68" s="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88"/>
      <c r="V68" s="89"/>
      <c r="W68" s="89"/>
      <c r="X68" s="89"/>
      <c r="Y68" s="89"/>
      <c r="Z68" s="89"/>
      <c r="AA68" s="104"/>
      <c r="AB68" s="105"/>
      <c r="AC68" s="105"/>
      <c r="AD68" s="106"/>
      <c r="AE68" s="3"/>
      <c r="AF68" s="3"/>
      <c r="AG68" s="3"/>
      <c r="AH68" s="3"/>
      <c r="AI68" s="3"/>
    </row>
    <row r="69" spans="1:59" ht="14.25" customHeight="1" x14ac:dyDescent="0.35">
      <c r="A69" s="71"/>
      <c r="B69" s="111" t="s">
        <v>140</v>
      </c>
      <c r="C69" s="3">
        <v>8</v>
      </c>
      <c r="D69" s="97" t="s">
        <v>126</v>
      </c>
      <c r="E69" s="102">
        <f>IF(D69="Kg",$E$27,IF(D69="BSA",$E$26,1))*C69</f>
        <v>8</v>
      </c>
      <c r="F69" s="3">
        <v>1</v>
      </c>
      <c r="G69" s="72">
        <f t="shared" si="11"/>
        <v>2187.3440000000001</v>
      </c>
      <c r="H69" s="73">
        <f t="shared" si="12"/>
        <v>17498.752</v>
      </c>
      <c r="I69" s="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88"/>
      <c r="V69" s="89"/>
      <c r="W69" s="89"/>
      <c r="X69" s="89"/>
      <c r="Y69" s="89"/>
      <c r="Z69" s="89"/>
      <c r="AA69" s="104"/>
      <c r="AB69" s="105"/>
      <c r="AC69" s="105"/>
      <c r="AD69" s="106"/>
      <c r="AE69" s="3"/>
      <c r="AF69" s="3"/>
      <c r="AG69" s="3"/>
      <c r="AH69" s="3"/>
      <c r="AI69" s="3"/>
    </row>
    <row r="70" spans="1:59" ht="14.25" customHeight="1" x14ac:dyDescent="0.35">
      <c r="A70" s="74"/>
      <c r="B70" s="111"/>
      <c r="C70" s="3"/>
      <c r="D70" s="97"/>
      <c r="E70" s="102"/>
      <c r="F70" s="3"/>
      <c r="G70" s="72"/>
      <c r="H70" s="73">
        <f t="shared" si="12"/>
        <v>0</v>
      </c>
      <c r="I70" s="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88"/>
      <c r="V70" s="89"/>
      <c r="W70" s="89"/>
      <c r="X70" s="89"/>
      <c r="Y70" s="89"/>
      <c r="Z70" s="89"/>
      <c r="AA70" s="104"/>
      <c r="AB70" s="105"/>
      <c r="AC70" s="105"/>
      <c r="AD70" s="106"/>
      <c r="AE70" s="3"/>
      <c r="AF70" s="3"/>
      <c r="AG70" s="3"/>
      <c r="AH70" s="3"/>
      <c r="AI70" s="3"/>
    </row>
    <row r="71" spans="1:59" ht="14.25" customHeight="1" x14ac:dyDescent="0.35">
      <c r="A71" s="74" t="s">
        <v>125</v>
      </c>
      <c r="B71" s="3" t="s">
        <v>37</v>
      </c>
      <c r="C71" s="3">
        <v>1</v>
      </c>
      <c r="D71" s="97" t="s">
        <v>126</v>
      </c>
      <c r="E71" s="102">
        <f>IF(D71="Kg",$E$27,IF(D71="BSA",$E$26,1))*C71</f>
        <v>1</v>
      </c>
      <c r="F71" s="3">
        <v>1</v>
      </c>
      <c r="G71" s="72">
        <f>Y10</f>
        <v>70305</v>
      </c>
      <c r="H71" s="73">
        <f t="shared" si="12"/>
        <v>70305</v>
      </c>
      <c r="I71" s="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2"/>
      <c r="V71" s="112"/>
      <c r="W71" s="112"/>
      <c r="X71" s="112"/>
      <c r="Y71" s="112"/>
      <c r="Z71" s="112"/>
      <c r="AA71" s="113"/>
      <c r="AB71" s="114"/>
      <c r="AC71" s="114"/>
      <c r="AD71" s="115"/>
      <c r="AE71" s="3"/>
      <c r="AF71" s="3"/>
      <c r="AG71" s="3"/>
      <c r="AH71" s="3"/>
      <c r="AI71" s="3"/>
    </row>
    <row r="72" spans="1:59" ht="14.25" customHeight="1" x14ac:dyDescent="0.35">
      <c r="A72" s="74"/>
      <c r="B72" s="3" t="s">
        <v>128</v>
      </c>
      <c r="C72" s="3">
        <v>1100</v>
      </c>
      <c r="D72" s="97" t="s">
        <v>126</v>
      </c>
      <c r="E72" s="102">
        <f>IF(D72="Kg",$E$27,IF(D72="BSA",$E$26,1))*C72</f>
        <v>1100</v>
      </c>
      <c r="F72" s="3">
        <v>1</v>
      </c>
      <c r="G72" s="72">
        <f t="shared" ref="G72" si="13">IFERROR(_xlfn.XLOOKUP(B72,$U$40:$U$59,$AD$40:$AD$59),0)</f>
        <v>34.611980000000003</v>
      </c>
      <c r="H72" s="73">
        <f t="shared" si="12"/>
        <v>38073.178</v>
      </c>
      <c r="I72" s="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2"/>
      <c r="V72" s="112"/>
      <c r="W72" s="112"/>
      <c r="X72" s="112"/>
      <c r="Y72" s="112"/>
      <c r="Z72" s="112"/>
      <c r="AA72" s="113"/>
      <c r="AB72" s="114"/>
      <c r="AC72" s="114"/>
      <c r="AD72" s="115"/>
      <c r="AE72" s="3"/>
      <c r="AF72" s="3"/>
      <c r="AG72" s="3"/>
      <c r="AH72" s="3"/>
      <c r="AI72" s="3"/>
    </row>
    <row r="73" spans="1:59" ht="14.25" customHeight="1" x14ac:dyDescent="0.35">
      <c r="A73" s="3"/>
      <c r="B73" s="3" t="s">
        <v>130</v>
      </c>
      <c r="C73" s="3">
        <v>1</v>
      </c>
      <c r="D73" s="97" t="s">
        <v>126</v>
      </c>
      <c r="E73" s="102">
        <f>IF(D73="Kg",$E$27,IF(D73="BSA",$E$26,1))*C73</f>
        <v>1</v>
      </c>
      <c r="F73" s="3">
        <v>1</v>
      </c>
      <c r="G73" s="72">
        <f>Y27</f>
        <v>21400</v>
      </c>
      <c r="H73" s="73">
        <f t="shared" si="12"/>
        <v>21400</v>
      </c>
      <c r="I73" s="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8"/>
      <c r="V73" s="89"/>
      <c r="W73" s="89"/>
      <c r="X73" s="89"/>
      <c r="Y73" s="89"/>
      <c r="Z73" s="89"/>
      <c r="AA73" s="104"/>
      <c r="AB73" s="105"/>
      <c r="AC73" s="105"/>
      <c r="AD73" s="106"/>
      <c r="AE73" s="3"/>
      <c r="AF73" s="3"/>
      <c r="AG73" s="3"/>
      <c r="AH73" s="3"/>
      <c r="AI73" s="3"/>
    </row>
    <row r="74" spans="1:59" ht="14.25" customHeight="1" x14ac:dyDescent="0.35">
      <c r="A74" s="81"/>
      <c r="B74" s="81"/>
      <c r="C74" s="81"/>
      <c r="D74" s="81"/>
      <c r="E74" s="81"/>
      <c r="F74" s="81"/>
      <c r="G74" s="81"/>
      <c r="H74" s="82">
        <f>SUM(H66:H73)</f>
        <v>16468281.826241905</v>
      </c>
      <c r="I74" s="4" t="s">
        <v>36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88"/>
      <c r="V74" s="89"/>
      <c r="W74" s="89"/>
      <c r="X74" s="89"/>
      <c r="Y74" s="89"/>
      <c r="Z74" s="89"/>
      <c r="AA74" s="104"/>
      <c r="AB74" s="105"/>
      <c r="AC74" s="105"/>
      <c r="AD74" s="106"/>
      <c r="AE74" s="3"/>
      <c r="AF74" s="3"/>
      <c r="AG74" s="3"/>
      <c r="AH74" s="3"/>
      <c r="AI74" s="3"/>
    </row>
    <row r="75" spans="1:59" ht="14.25" customHeight="1" x14ac:dyDescent="0.35">
      <c r="A75" s="93"/>
      <c r="B75" s="94" t="s">
        <v>146</v>
      </c>
      <c r="C75" s="68"/>
      <c r="D75" s="68"/>
      <c r="E75" s="68"/>
      <c r="F75" s="66"/>
      <c r="G75" s="66"/>
      <c r="H75" s="67"/>
      <c r="I75" s="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88"/>
      <c r="V75" s="89"/>
      <c r="W75" s="89"/>
      <c r="X75" s="89"/>
      <c r="Y75" s="89"/>
      <c r="Z75" s="89"/>
      <c r="AA75" s="104"/>
      <c r="AB75" s="105"/>
      <c r="AC75" s="105"/>
      <c r="AD75" s="106"/>
      <c r="AE75" s="3"/>
      <c r="AF75" s="3"/>
      <c r="AG75" s="3"/>
      <c r="AH75" s="3"/>
      <c r="AI75" s="3"/>
    </row>
    <row r="76" spans="1:59" ht="14.25" customHeight="1" x14ac:dyDescent="0.35">
      <c r="A76" s="95"/>
      <c r="B76" s="68" t="s">
        <v>16</v>
      </c>
      <c r="C76" s="69" t="s">
        <v>116</v>
      </c>
      <c r="D76" s="69" t="s">
        <v>117</v>
      </c>
      <c r="E76" s="69" t="s">
        <v>118</v>
      </c>
      <c r="F76" s="69" t="s">
        <v>90</v>
      </c>
      <c r="G76" s="69" t="s">
        <v>91</v>
      </c>
      <c r="H76" s="70" t="s">
        <v>92</v>
      </c>
      <c r="I76" s="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88"/>
      <c r="V76" s="89"/>
      <c r="W76" s="89"/>
      <c r="X76" s="89"/>
      <c r="Y76" s="89"/>
      <c r="Z76" s="89"/>
      <c r="AA76" s="104"/>
      <c r="AB76" s="105"/>
      <c r="AC76" s="105"/>
      <c r="AD76" s="106"/>
      <c r="AE76" s="3"/>
      <c r="AF76" s="3"/>
      <c r="AG76" s="3"/>
      <c r="AH76" s="3"/>
      <c r="AI76" s="3"/>
    </row>
    <row r="77" spans="1:59" ht="14.25" customHeight="1" x14ac:dyDescent="0.35">
      <c r="A77" s="71" t="s">
        <v>120</v>
      </c>
      <c r="B77" s="74" t="s">
        <v>123</v>
      </c>
      <c r="C77" s="97">
        <v>120</v>
      </c>
      <c r="D77" s="97" t="s">
        <v>78</v>
      </c>
      <c r="E77" s="102">
        <f t="shared" ref="E77:E86" si="14">IF(D77="Kg",$E$27,IF(D77="BSA",$E$26,1))*C77</f>
        <v>192.6994626243287</v>
      </c>
      <c r="F77" s="97">
        <v>1</v>
      </c>
      <c r="G77" s="72">
        <f t="shared" ref="G77:G80" si="15">IFERROR(_xlfn.XLOOKUP(B77,$U$40:$U$59,$AD$40:$AD$59),0)</f>
        <v>4604.4678571428576</v>
      </c>
      <c r="H77" s="73">
        <f t="shared" ref="H77:H85" si="16">G77*F77*E77</f>
        <v>887278.48174242291</v>
      </c>
      <c r="I77" s="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88"/>
      <c r="V77" s="89"/>
      <c r="W77" s="89"/>
      <c r="X77" s="89"/>
      <c r="Y77" s="89"/>
      <c r="Z77" s="89"/>
      <c r="AA77" s="104"/>
      <c r="AB77" s="105"/>
      <c r="AC77" s="105"/>
      <c r="AD77" s="116"/>
      <c r="AE77" s="3"/>
      <c r="AF77" s="3"/>
      <c r="AG77" s="3"/>
      <c r="AH77" s="3"/>
      <c r="AI77" s="3"/>
    </row>
    <row r="78" spans="1:59" ht="14.25" customHeight="1" x14ac:dyDescent="0.35">
      <c r="A78" s="95"/>
      <c r="B78" s="3" t="s">
        <v>127</v>
      </c>
      <c r="C78" s="97">
        <v>80</v>
      </c>
      <c r="D78" s="97" t="s">
        <v>78</v>
      </c>
      <c r="E78" s="102">
        <f t="shared" si="14"/>
        <v>128.46630841621914</v>
      </c>
      <c r="F78" s="97">
        <v>1</v>
      </c>
      <c r="G78" s="72">
        <f t="shared" si="15"/>
        <v>969.95294117647063</v>
      </c>
      <c r="H78" s="73">
        <f t="shared" si="16"/>
        <v>124606.27369039533</v>
      </c>
      <c r="I78" s="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59" ht="14.25" customHeight="1" x14ac:dyDescent="0.35">
      <c r="A79" s="71" t="s">
        <v>122</v>
      </c>
      <c r="B79" s="3" t="s">
        <v>139</v>
      </c>
      <c r="C79" s="97">
        <v>4</v>
      </c>
      <c r="D79" s="97" t="s">
        <v>126</v>
      </c>
      <c r="E79" s="102">
        <f t="shared" si="14"/>
        <v>4</v>
      </c>
      <c r="F79" s="97">
        <v>1</v>
      </c>
      <c r="G79" s="72">
        <f t="shared" si="15"/>
        <v>153.88239999999999</v>
      </c>
      <c r="H79" s="73">
        <f t="shared" si="16"/>
        <v>615.52959999999996</v>
      </c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59" ht="14.25" customHeight="1" x14ac:dyDescent="0.35">
      <c r="A80" s="3"/>
      <c r="B80" s="3" t="s">
        <v>140</v>
      </c>
      <c r="C80" s="97">
        <v>8</v>
      </c>
      <c r="D80" s="97" t="s">
        <v>126</v>
      </c>
      <c r="E80" s="102">
        <f t="shared" si="14"/>
        <v>8</v>
      </c>
      <c r="F80" s="97">
        <v>1</v>
      </c>
      <c r="G80" s="72">
        <f t="shared" si="15"/>
        <v>2187.3440000000001</v>
      </c>
      <c r="H80" s="73">
        <f t="shared" si="16"/>
        <v>17498.752</v>
      </c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59" ht="14.25" customHeight="1" x14ac:dyDescent="0.35">
      <c r="A81" s="74" t="s">
        <v>125</v>
      </c>
      <c r="B81" s="3" t="s">
        <v>37</v>
      </c>
      <c r="C81" s="3">
        <v>1</v>
      </c>
      <c r="D81" s="97" t="s">
        <v>126</v>
      </c>
      <c r="E81" s="102">
        <f t="shared" si="14"/>
        <v>1</v>
      </c>
      <c r="F81" s="3">
        <v>2</v>
      </c>
      <c r="G81" s="72">
        <f>Y10</f>
        <v>70305</v>
      </c>
      <c r="H81" s="73">
        <f t="shared" si="16"/>
        <v>140610</v>
      </c>
      <c r="I81" s="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59" ht="14.25" customHeight="1" x14ac:dyDescent="0.35">
      <c r="A82" s="74"/>
      <c r="B82" s="3" t="s">
        <v>128</v>
      </c>
      <c r="C82" s="3">
        <v>1000</v>
      </c>
      <c r="D82" s="97" t="s">
        <v>126</v>
      </c>
      <c r="E82" s="102">
        <f t="shared" si="14"/>
        <v>1000</v>
      </c>
      <c r="F82" s="3">
        <v>2</v>
      </c>
      <c r="G82" s="72">
        <f t="shared" ref="G82" si="17">IFERROR(_xlfn.XLOOKUP(B82,$U$40:$U$59,$AD$40:$AD$59),0)</f>
        <v>34.611980000000003</v>
      </c>
      <c r="H82" s="73">
        <f t="shared" si="16"/>
        <v>69223.960000000006</v>
      </c>
      <c r="I82" s="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59" ht="14.25" customHeight="1" x14ac:dyDescent="0.35">
      <c r="A83" s="3"/>
      <c r="B83" s="3" t="s">
        <v>130</v>
      </c>
      <c r="C83" s="3">
        <v>1</v>
      </c>
      <c r="D83" s="97" t="s">
        <v>126</v>
      </c>
      <c r="E83" s="102">
        <f t="shared" si="14"/>
        <v>1</v>
      </c>
      <c r="F83" s="3">
        <v>2</v>
      </c>
      <c r="G83" s="72">
        <f>Y27</f>
        <v>21400</v>
      </c>
      <c r="H83" s="73">
        <f t="shared" si="16"/>
        <v>42800</v>
      </c>
      <c r="I83" s="4"/>
      <c r="J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59" ht="14.25" customHeight="1" x14ac:dyDescent="0.35">
      <c r="A84" s="74"/>
      <c r="B84" s="3"/>
      <c r="C84" s="3"/>
      <c r="D84" s="97"/>
      <c r="E84" s="102">
        <f t="shared" si="14"/>
        <v>0</v>
      </c>
      <c r="F84" s="3"/>
      <c r="G84" s="72"/>
      <c r="H84" s="73">
        <f t="shared" si="16"/>
        <v>0</v>
      </c>
      <c r="I84" s="4"/>
      <c r="J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59" ht="14.25" customHeight="1" x14ac:dyDescent="0.35">
      <c r="A85" s="74"/>
      <c r="B85" s="3"/>
      <c r="C85" s="3"/>
      <c r="D85" s="3"/>
      <c r="E85" s="102">
        <f t="shared" si="14"/>
        <v>0</v>
      </c>
      <c r="F85" s="3"/>
      <c r="G85" s="100"/>
      <c r="H85" s="73">
        <f t="shared" si="16"/>
        <v>0</v>
      </c>
      <c r="I85" s="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59" ht="14.25" customHeight="1" x14ac:dyDescent="0.35">
      <c r="A86" s="81"/>
      <c r="B86" s="81"/>
      <c r="C86" s="81"/>
      <c r="D86" s="81"/>
      <c r="E86" s="102">
        <f t="shared" si="14"/>
        <v>0</v>
      </c>
      <c r="F86" s="81"/>
      <c r="G86" s="81"/>
      <c r="H86" s="82">
        <f>SUM(H77:H85)</f>
        <v>1282632.9970328182</v>
      </c>
      <c r="I86" s="4" t="s">
        <v>41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59" ht="14.25" customHeight="1" x14ac:dyDescent="0.35">
      <c r="A87" s="93"/>
      <c r="B87" s="94" t="s">
        <v>147</v>
      </c>
      <c r="C87" s="68"/>
      <c r="D87" s="68"/>
      <c r="E87" s="68"/>
      <c r="F87" s="66"/>
      <c r="G87" s="66"/>
      <c r="H87" s="67"/>
      <c r="I87" s="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59" ht="14.25" customHeight="1" x14ac:dyDescent="0.35">
      <c r="A88" s="95"/>
      <c r="B88" s="68" t="s">
        <v>16</v>
      </c>
      <c r="C88" s="69" t="s">
        <v>116</v>
      </c>
      <c r="D88" s="69" t="s">
        <v>117</v>
      </c>
      <c r="E88" s="69" t="s">
        <v>118</v>
      </c>
      <c r="F88" s="69" t="s">
        <v>90</v>
      </c>
      <c r="G88" s="69" t="s">
        <v>91</v>
      </c>
      <c r="H88" s="70" t="s">
        <v>92</v>
      </c>
      <c r="I88" s="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59" s="110" customFormat="1" ht="14.25" customHeight="1" x14ac:dyDescent="0.35">
      <c r="A89" s="71" t="s">
        <v>120</v>
      </c>
      <c r="B89" s="74" t="s">
        <v>123</v>
      </c>
      <c r="C89" s="74">
        <v>100</v>
      </c>
      <c r="D89" s="96" t="s">
        <v>78</v>
      </c>
      <c r="E89" s="102">
        <f>IF(D89="Kg",$E$27,IF(D89="BSA",$E$26,1))*C89</f>
        <v>160.58288552027392</v>
      </c>
      <c r="F89" s="96">
        <v>1</v>
      </c>
      <c r="G89" s="72">
        <f t="shared" ref="G89:G92" si="18">IFERROR(_xlfn.XLOOKUP(B89,$U$40:$U$59,$AD$40:$AD$59),0)</f>
        <v>4604.4678571428576</v>
      </c>
      <c r="H89" s="73">
        <f t="shared" ref="H89:H96" si="19">G89*F89*E89</f>
        <v>739398.73478535248</v>
      </c>
      <c r="I89" s="108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12"/>
      <c r="V89" s="112"/>
      <c r="W89" s="112"/>
      <c r="X89" s="112"/>
      <c r="Y89" s="112"/>
      <c r="Z89" s="112"/>
      <c r="AA89" s="113">
        <f ca="1">OFFSET(V89,0,$AF$34-2)</f>
        <v>0</v>
      </c>
      <c r="AB89" s="114">
        <f ca="1">OFFSET(V89,0,$AF$34-2)*0.8</f>
        <v>0</v>
      </c>
      <c r="AC89" s="74"/>
      <c r="AD89" s="74"/>
      <c r="AE89" s="74"/>
      <c r="AF89" s="74"/>
      <c r="AG89" s="74"/>
      <c r="AH89" s="74"/>
      <c r="AI89" s="74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</row>
    <row r="90" spans="1:59" s="110" customFormat="1" ht="14.25" customHeight="1" x14ac:dyDescent="0.35">
      <c r="A90" s="71"/>
      <c r="B90" s="74" t="s">
        <v>129</v>
      </c>
      <c r="C90" s="74">
        <v>4</v>
      </c>
      <c r="D90" s="96" t="s">
        <v>78</v>
      </c>
      <c r="E90" s="102">
        <f>IF(D90="Kg",$E$27,IF(D90="BSA",$E$26,1))*C90</f>
        <v>6.4233154208109564</v>
      </c>
      <c r="F90" s="74">
        <v>1</v>
      </c>
      <c r="G90" s="72">
        <f t="shared" si="18"/>
        <v>68000</v>
      </c>
      <c r="H90" s="73">
        <f t="shared" si="19"/>
        <v>436785.44861514505</v>
      </c>
      <c r="I90" s="108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12"/>
      <c r="V90" s="112"/>
      <c r="W90" s="112"/>
      <c r="X90" s="112"/>
      <c r="Y90" s="112"/>
      <c r="Z90" s="112"/>
      <c r="AA90" s="113">
        <f ca="1">OFFSET(V90,0,$AF$34-2)</f>
        <v>0</v>
      </c>
      <c r="AB90" s="114">
        <f ca="1">OFFSET(V90,0,$AF$34-2)*0.8</f>
        <v>0</v>
      </c>
      <c r="AC90" s="74"/>
      <c r="AD90" s="74"/>
      <c r="AE90" s="74"/>
      <c r="AF90" s="74"/>
      <c r="AG90" s="74"/>
      <c r="AH90" s="74"/>
      <c r="AI90" s="74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</row>
    <row r="91" spans="1:59" ht="14.25" customHeight="1" x14ac:dyDescent="0.35">
      <c r="A91" s="71" t="s">
        <v>122</v>
      </c>
      <c r="B91" s="3" t="s">
        <v>139</v>
      </c>
      <c r="C91" s="3">
        <v>4</v>
      </c>
      <c r="D91" s="97" t="s">
        <v>126</v>
      </c>
      <c r="E91" s="102">
        <f>IF(D91="Kg",$E$27,IF(D91="BSA",$E$26,1))*C91</f>
        <v>4</v>
      </c>
      <c r="F91" s="3">
        <v>1</v>
      </c>
      <c r="G91" s="72">
        <f t="shared" si="18"/>
        <v>153.88239999999999</v>
      </c>
      <c r="H91" s="73">
        <f t="shared" si="19"/>
        <v>615.52959999999996</v>
      </c>
      <c r="I91" s="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88"/>
      <c r="V91" s="89"/>
      <c r="W91" s="89"/>
      <c r="X91" s="89"/>
      <c r="Y91" s="89"/>
      <c r="Z91" s="89"/>
      <c r="AA91" s="104">
        <f ca="1">OFFSET(V91,0,$AF$34-2)</f>
        <v>0</v>
      </c>
      <c r="AB91" s="105">
        <f ca="1">OFFSET(V91,0,$AF$34-2)*0.8</f>
        <v>0</v>
      </c>
      <c r="AC91" s="117"/>
      <c r="AD91" s="3"/>
      <c r="AE91" s="3"/>
      <c r="AF91" s="3"/>
      <c r="AG91" s="3"/>
      <c r="AH91" s="3"/>
      <c r="AI91" s="3"/>
    </row>
    <row r="92" spans="1:59" ht="14.25" customHeight="1" x14ac:dyDescent="0.35">
      <c r="A92" s="71"/>
      <c r="B92" s="111" t="s">
        <v>140</v>
      </c>
      <c r="C92" s="3">
        <v>8</v>
      </c>
      <c r="D92" s="97" t="s">
        <v>126</v>
      </c>
      <c r="E92" s="102">
        <f>IF(D92="Kg",$E$27,IF(D92="BSA",$E$26,1))*C92</f>
        <v>8</v>
      </c>
      <c r="F92" s="3">
        <v>1</v>
      </c>
      <c r="G92" s="72">
        <f t="shared" si="18"/>
        <v>2187.3440000000001</v>
      </c>
      <c r="H92" s="73">
        <f t="shared" si="19"/>
        <v>17498.752</v>
      </c>
      <c r="I92" s="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88"/>
      <c r="V92" s="89"/>
      <c r="W92" s="89"/>
      <c r="X92" s="89"/>
      <c r="Y92" s="89"/>
      <c r="Z92" s="89"/>
      <c r="AA92" s="104">
        <f ca="1">OFFSET(V92,0,$AF$34-2)</f>
        <v>0</v>
      </c>
      <c r="AB92" s="105">
        <f ca="1">OFFSET(V92,0,$AF$34-2)*0.8</f>
        <v>0</v>
      </c>
      <c r="AC92" s="3"/>
      <c r="AD92" s="3"/>
      <c r="AE92" s="3"/>
      <c r="AF92" s="3"/>
      <c r="AG92" s="3"/>
      <c r="AH92" s="3"/>
      <c r="AI92" s="3"/>
    </row>
    <row r="93" spans="1:59" ht="14.25" customHeight="1" x14ac:dyDescent="0.35">
      <c r="A93" s="74"/>
      <c r="B93" s="111"/>
      <c r="C93" s="3"/>
      <c r="D93" s="97"/>
      <c r="E93" s="102"/>
      <c r="F93" s="3"/>
      <c r="G93" s="72"/>
      <c r="H93" s="73">
        <f t="shared" si="19"/>
        <v>0</v>
      </c>
      <c r="I93" s="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88"/>
      <c r="V93" s="89"/>
      <c r="W93" s="89"/>
      <c r="X93" s="89"/>
      <c r="Y93" s="89"/>
      <c r="Z93" s="89"/>
      <c r="AA93" s="104"/>
      <c r="AB93" s="105"/>
      <c r="AC93" s="3"/>
      <c r="AD93" s="3"/>
      <c r="AE93" s="3"/>
      <c r="AF93" s="3"/>
      <c r="AG93" s="3"/>
      <c r="AH93" s="3"/>
      <c r="AI93" s="3"/>
    </row>
    <row r="94" spans="1:59" ht="14.25" customHeight="1" x14ac:dyDescent="0.35">
      <c r="A94" s="74" t="s">
        <v>125</v>
      </c>
      <c r="B94" s="3" t="s">
        <v>37</v>
      </c>
      <c r="C94" s="3">
        <v>1</v>
      </c>
      <c r="D94" s="97" t="s">
        <v>126</v>
      </c>
      <c r="E94" s="102">
        <f>IF(D94="Kg",$E$27,IF(D94="BSA",$E$26,1))*C94</f>
        <v>1</v>
      </c>
      <c r="F94" s="3">
        <v>2</v>
      </c>
      <c r="G94" s="72">
        <f>Y10</f>
        <v>70305</v>
      </c>
      <c r="H94" s="73">
        <f t="shared" si="19"/>
        <v>140610</v>
      </c>
      <c r="I94" s="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88"/>
      <c r="V94" s="89"/>
      <c r="W94" s="89"/>
      <c r="X94" s="89"/>
      <c r="Y94" s="89"/>
      <c r="Z94" s="89"/>
      <c r="AA94" s="104">
        <f ca="1">OFFSET(V94,0,$AF$34-2)</f>
        <v>0</v>
      </c>
      <c r="AB94" s="105">
        <f ca="1">OFFSET(V94,0,$AF$34-2)*0.8</f>
        <v>0</v>
      </c>
      <c r="AC94" s="3"/>
      <c r="AD94" s="3"/>
      <c r="AE94" s="3"/>
      <c r="AF94" s="3"/>
      <c r="AG94" s="3"/>
      <c r="AH94" s="3"/>
      <c r="AI94" s="3"/>
    </row>
    <row r="95" spans="1:59" ht="14.25" customHeight="1" x14ac:dyDescent="0.35">
      <c r="A95" s="74"/>
      <c r="B95" s="3" t="s">
        <v>128</v>
      </c>
      <c r="C95" s="3">
        <v>500</v>
      </c>
      <c r="D95" s="97" t="s">
        <v>126</v>
      </c>
      <c r="E95" s="102">
        <f>IF(D95="Kg",$E$27,IF(D95="BSA",$E$26,1))*C95</f>
        <v>500</v>
      </c>
      <c r="F95" s="3">
        <v>2</v>
      </c>
      <c r="G95" s="72">
        <f t="shared" ref="G95" si="20">IFERROR(_xlfn.XLOOKUP(B95,$U$40:$U$59,$AD$40:$AD$59),0)</f>
        <v>34.611980000000003</v>
      </c>
      <c r="H95" s="73">
        <f t="shared" si="19"/>
        <v>34611.980000000003</v>
      </c>
      <c r="I95" s="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88"/>
      <c r="V95" s="89"/>
      <c r="W95" s="89"/>
      <c r="X95" s="89"/>
      <c r="Y95" s="89"/>
      <c r="Z95" s="89"/>
      <c r="AA95" s="104">
        <f ca="1">OFFSET(V95,0,$AF$34-2)</f>
        <v>0</v>
      </c>
      <c r="AB95" s="105">
        <f ca="1">OFFSET(V95,0,$AF$34-2)*0.8</f>
        <v>0</v>
      </c>
      <c r="AC95" s="3"/>
      <c r="AD95" s="3"/>
      <c r="AE95" s="3"/>
      <c r="AF95" s="3"/>
      <c r="AG95" s="3"/>
      <c r="AH95" s="3"/>
      <c r="AI95" s="3"/>
    </row>
    <row r="96" spans="1:59" ht="14.25" customHeight="1" x14ac:dyDescent="0.35">
      <c r="A96" s="3"/>
      <c r="B96" s="3" t="s">
        <v>130</v>
      </c>
      <c r="C96" s="3">
        <v>1</v>
      </c>
      <c r="D96" s="97" t="s">
        <v>126</v>
      </c>
      <c r="E96" s="102">
        <f>IF(D96="Kg",$E$27,IF(D96="BSA",$E$26,1))*C96</f>
        <v>1</v>
      </c>
      <c r="F96" s="3">
        <v>2</v>
      </c>
      <c r="G96" s="72">
        <f>Y27</f>
        <v>21400</v>
      </c>
      <c r="H96" s="73">
        <f t="shared" si="19"/>
        <v>42800</v>
      </c>
      <c r="I96" s="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4.25" customHeight="1" x14ac:dyDescent="0.35">
      <c r="A97" s="81"/>
      <c r="B97" s="81"/>
      <c r="C97" s="81"/>
      <c r="D97" s="81"/>
      <c r="E97" s="81"/>
      <c r="F97" s="81"/>
      <c r="G97" s="81"/>
      <c r="H97" s="82">
        <f>SUM(H89:H96)</f>
        <v>1412320.4450004976</v>
      </c>
      <c r="I97" s="4" t="s">
        <v>46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4.25" customHeight="1" x14ac:dyDescent="0.35">
      <c r="A98" s="93"/>
      <c r="B98" s="74" t="s">
        <v>131</v>
      </c>
      <c r="C98" s="68"/>
      <c r="D98" s="68"/>
      <c r="E98" s="68"/>
      <c r="F98" s="66"/>
      <c r="G98" s="66"/>
      <c r="H98" s="67"/>
      <c r="I98" s="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4.25" customHeight="1" x14ac:dyDescent="0.35">
      <c r="A99" s="95"/>
      <c r="B99" s="68" t="s">
        <v>16</v>
      </c>
      <c r="C99" s="69" t="s">
        <v>116</v>
      </c>
      <c r="D99" s="69" t="s">
        <v>117</v>
      </c>
      <c r="E99" s="69" t="s">
        <v>118</v>
      </c>
      <c r="F99" s="69" t="s">
        <v>90</v>
      </c>
      <c r="G99" s="69" t="s">
        <v>91</v>
      </c>
      <c r="H99" s="70" t="s">
        <v>92</v>
      </c>
      <c r="I99" s="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4.25" customHeight="1" x14ac:dyDescent="0.35">
      <c r="A100" s="71" t="s">
        <v>120</v>
      </c>
      <c r="B100" s="3" t="s">
        <v>131</v>
      </c>
      <c r="C100" s="74">
        <v>75</v>
      </c>
      <c r="D100" s="96" t="s">
        <v>78</v>
      </c>
      <c r="E100" s="102">
        <f t="shared" ref="E100:E105" si="21">IF(D100="Kg",$E$27,IF(D100="BSA",$E$26,1))*C100</f>
        <v>120.43716414020544</v>
      </c>
      <c r="F100" s="96">
        <v>1</v>
      </c>
      <c r="G100" s="72">
        <f t="shared" ref="G100:G104" si="22">IFERROR(_xlfn.XLOOKUP(B100,$U$40:$U$59,$AD$40:$AD$59),0)</f>
        <v>16707.086363636357</v>
      </c>
      <c r="H100" s="73">
        <f t="shared" ref="H100:H105" si="23">G100*F100*E100</f>
        <v>2012154.1026818601</v>
      </c>
      <c r="I100" s="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4.25" customHeight="1" x14ac:dyDescent="0.35">
      <c r="A101" s="71" t="s">
        <v>122</v>
      </c>
      <c r="B101" s="3" t="s">
        <v>139</v>
      </c>
      <c r="C101" s="3">
        <v>8</v>
      </c>
      <c r="D101" s="97" t="s">
        <v>126</v>
      </c>
      <c r="E101" s="102">
        <f t="shared" si="21"/>
        <v>8</v>
      </c>
      <c r="F101" s="3">
        <v>2</v>
      </c>
      <c r="G101" s="72">
        <f t="shared" si="22"/>
        <v>153.88239999999999</v>
      </c>
      <c r="H101" s="73">
        <f t="shared" si="23"/>
        <v>2462.1183999999998</v>
      </c>
      <c r="I101" s="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4.25" customHeight="1" x14ac:dyDescent="0.35">
      <c r="A102" s="74"/>
      <c r="B102" s="111" t="s">
        <v>142</v>
      </c>
      <c r="C102" s="3">
        <v>10</v>
      </c>
      <c r="D102" s="97" t="s">
        <v>126</v>
      </c>
      <c r="E102" s="102">
        <f t="shared" si="21"/>
        <v>10</v>
      </c>
      <c r="F102" s="3">
        <v>1</v>
      </c>
      <c r="G102" s="72">
        <f t="shared" si="22"/>
        <v>3065.3679653679651</v>
      </c>
      <c r="H102" s="73">
        <f t="shared" si="23"/>
        <v>30653.67965367965</v>
      </c>
      <c r="I102" s="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4.25" customHeight="1" x14ac:dyDescent="0.35">
      <c r="A103" s="74" t="s">
        <v>125</v>
      </c>
      <c r="B103" s="3" t="s">
        <v>37</v>
      </c>
      <c r="C103" s="3">
        <v>1</v>
      </c>
      <c r="D103" s="97" t="s">
        <v>126</v>
      </c>
      <c r="E103" s="102">
        <f t="shared" si="21"/>
        <v>1</v>
      </c>
      <c r="F103" s="3">
        <v>1</v>
      </c>
      <c r="G103" s="72">
        <f>Y10</f>
        <v>70305</v>
      </c>
      <c r="H103" s="73">
        <f t="shared" si="23"/>
        <v>70305</v>
      </c>
      <c r="I103" s="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4.25" customHeight="1" x14ac:dyDescent="0.35">
      <c r="A104" s="74"/>
      <c r="B104" s="3" t="s">
        <v>128</v>
      </c>
      <c r="C104" s="118">
        <f>E100*250/C100</f>
        <v>401.45721380068477</v>
      </c>
      <c r="D104" s="97" t="s">
        <v>126</v>
      </c>
      <c r="E104" s="102">
        <f t="shared" si="21"/>
        <v>401.45721380068477</v>
      </c>
      <c r="F104" s="3">
        <v>1</v>
      </c>
      <c r="G104" s="72">
        <f t="shared" si="22"/>
        <v>34.611980000000003</v>
      </c>
      <c r="H104" s="73">
        <f t="shared" si="23"/>
        <v>13895.229054925027</v>
      </c>
      <c r="I104" s="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4.25" customHeight="1" x14ac:dyDescent="0.35">
      <c r="A105" s="3"/>
      <c r="B105" s="3" t="s">
        <v>130</v>
      </c>
      <c r="C105" s="3">
        <v>1</v>
      </c>
      <c r="D105" s="97" t="s">
        <v>126</v>
      </c>
      <c r="E105" s="102">
        <f t="shared" si="21"/>
        <v>1</v>
      </c>
      <c r="F105" s="3">
        <v>1</v>
      </c>
      <c r="G105" s="72">
        <f>Y27</f>
        <v>21400</v>
      </c>
      <c r="H105" s="73">
        <f t="shared" si="23"/>
        <v>21400</v>
      </c>
      <c r="I105" s="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4.25" customHeight="1" x14ac:dyDescent="0.35">
      <c r="A106" s="81"/>
      <c r="B106" s="81"/>
      <c r="C106" s="81"/>
      <c r="D106" s="81"/>
      <c r="E106" s="81"/>
      <c r="F106" s="81"/>
      <c r="G106" s="81"/>
      <c r="H106" s="82">
        <f>SUM(H100:H105)</f>
        <v>2150870.1297904649</v>
      </c>
      <c r="I106" s="119" t="s">
        <v>148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4.25" customHeight="1" x14ac:dyDescent="0.35">
      <c r="A107" s="93"/>
      <c r="B107" s="74" t="s">
        <v>149</v>
      </c>
      <c r="C107" s="68"/>
      <c r="D107" s="68"/>
      <c r="E107" s="68"/>
      <c r="F107" s="66"/>
      <c r="G107" s="66"/>
      <c r="H107" s="67"/>
      <c r="I107" s="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4.25" customHeight="1" x14ac:dyDescent="0.35">
      <c r="A108" s="95"/>
      <c r="B108" s="68" t="s">
        <v>16</v>
      </c>
      <c r="C108" s="69" t="s">
        <v>116</v>
      </c>
      <c r="D108" s="69" t="s">
        <v>117</v>
      </c>
      <c r="E108" s="69" t="s">
        <v>118</v>
      </c>
      <c r="F108" s="69" t="s">
        <v>90</v>
      </c>
      <c r="G108" s="69" t="s">
        <v>91</v>
      </c>
      <c r="H108" s="70" t="s">
        <v>92</v>
      </c>
      <c r="I108" s="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4.25" customHeight="1" x14ac:dyDescent="0.35">
      <c r="A109" s="71" t="s">
        <v>120</v>
      </c>
      <c r="B109" s="3" t="s">
        <v>134</v>
      </c>
      <c r="C109" s="74">
        <v>150</v>
      </c>
      <c r="D109" s="96" t="s">
        <v>126</v>
      </c>
      <c r="E109" s="102">
        <f>IF(D109="Kg",$E$27,IF(D109="BSA",$E$26,1))*C109</f>
        <v>150</v>
      </c>
      <c r="F109" s="96">
        <v>1</v>
      </c>
      <c r="G109" s="72">
        <f t="shared" ref="G109" si="24">IFERROR(_xlfn.XLOOKUP(B109,$U$40:$U$59,$AD$40:$AD$59),0)</f>
        <v>2250</v>
      </c>
      <c r="H109" s="73">
        <f>G109*F109*E109</f>
        <v>337500</v>
      </c>
      <c r="I109" s="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4.25" customHeight="1" x14ac:dyDescent="0.35">
      <c r="A110" s="81"/>
      <c r="B110" s="81"/>
      <c r="C110" s="81"/>
      <c r="D110" s="81"/>
      <c r="E110" s="81"/>
      <c r="F110" s="81"/>
      <c r="G110" s="81"/>
      <c r="H110" s="82">
        <f>SUM(H109:H109)</f>
        <v>337500</v>
      </c>
      <c r="I110" s="4" t="s">
        <v>53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4.25" customHeight="1" x14ac:dyDescent="0.35">
      <c r="A111" s="93"/>
      <c r="B111" s="74" t="s">
        <v>124</v>
      </c>
      <c r="C111" s="68"/>
      <c r="D111" s="68"/>
      <c r="E111" s="68"/>
      <c r="F111" s="66"/>
      <c r="G111" s="66"/>
      <c r="H111" s="67"/>
      <c r="I111" s="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4.25" customHeight="1" x14ac:dyDescent="0.35">
      <c r="A112" s="95"/>
      <c r="B112" s="68" t="s">
        <v>16</v>
      </c>
      <c r="C112" s="69" t="s">
        <v>116</v>
      </c>
      <c r="D112" s="69" t="s">
        <v>117</v>
      </c>
      <c r="E112" s="69" t="s">
        <v>118</v>
      </c>
      <c r="F112" s="69" t="s">
        <v>90</v>
      </c>
      <c r="G112" s="69" t="s">
        <v>91</v>
      </c>
      <c r="H112" s="70" t="s">
        <v>92</v>
      </c>
      <c r="I112" s="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4.25" customHeight="1" x14ac:dyDescent="0.35">
      <c r="A113" s="71" t="s">
        <v>120</v>
      </c>
      <c r="B113" s="3" t="s">
        <v>124</v>
      </c>
      <c r="C113" s="74">
        <v>500</v>
      </c>
      <c r="D113" s="96" t="s">
        <v>78</v>
      </c>
      <c r="E113" s="102">
        <f t="shared" ref="E113:E118" si="25">IF(D113="Kg",$E$27,IF(D113="BSA",$E$26,1))*C113</f>
        <v>802.91442760136954</v>
      </c>
      <c r="F113" s="96">
        <v>1</v>
      </c>
      <c r="G113" s="72">
        <f t="shared" ref="G113:G117" si="26">IFERROR(_xlfn.XLOOKUP(B113,$U$40:$U$59,$AD$40:$AD$59),0)</f>
        <v>19635</v>
      </c>
      <c r="H113" s="73">
        <f t="shared" ref="H113:H118" si="27">G113*F113*E113</f>
        <v>15765224.78595289</v>
      </c>
      <c r="I113" s="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4.25" customHeight="1" x14ac:dyDescent="0.35">
      <c r="A114" s="71" t="s">
        <v>122</v>
      </c>
      <c r="B114" s="3" t="s">
        <v>139</v>
      </c>
      <c r="C114" s="3">
        <v>4</v>
      </c>
      <c r="D114" s="97" t="s">
        <v>126</v>
      </c>
      <c r="E114" s="102">
        <f t="shared" si="25"/>
        <v>4</v>
      </c>
      <c r="F114" s="3">
        <v>2</v>
      </c>
      <c r="G114" s="72">
        <f t="shared" si="26"/>
        <v>153.88239999999999</v>
      </c>
      <c r="H114" s="73">
        <f t="shared" si="27"/>
        <v>1231.0591999999999</v>
      </c>
      <c r="I114" s="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4.25" customHeight="1" x14ac:dyDescent="0.35">
      <c r="A115" s="71"/>
      <c r="B115" s="111" t="s">
        <v>142</v>
      </c>
      <c r="C115" s="3">
        <v>10</v>
      </c>
      <c r="D115" s="97" t="s">
        <v>126</v>
      </c>
      <c r="E115" s="102">
        <f t="shared" si="25"/>
        <v>10</v>
      </c>
      <c r="F115" s="3">
        <v>1</v>
      </c>
      <c r="G115" s="72">
        <f t="shared" si="26"/>
        <v>3065.3679653679651</v>
      </c>
      <c r="H115" s="73">
        <f t="shared" si="27"/>
        <v>30653.67965367965</v>
      </c>
      <c r="I115" s="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4.25" customHeight="1" x14ac:dyDescent="0.35">
      <c r="A116" s="74" t="s">
        <v>125</v>
      </c>
      <c r="B116" s="3" t="s">
        <v>37</v>
      </c>
      <c r="C116" s="3">
        <v>1</v>
      </c>
      <c r="D116" s="97" t="s">
        <v>126</v>
      </c>
      <c r="E116" s="102">
        <f t="shared" si="25"/>
        <v>1</v>
      </c>
      <c r="F116" s="3">
        <v>1</v>
      </c>
      <c r="G116" s="72">
        <f>Y10</f>
        <v>70305</v>
      </c>
      <c r="H116" s="73">
        <f t="shared" si="27"/>
        <v>70305</v>
      </c>
      <c r="I116" s="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4.25" customHeight="1" x14ac:dyDescent="0.35">
      <c r="A117" s="74"/>
      <c r="B117" s="3" t="s">
        <v>128</v>
      </c>
      <c r="C117" s="118">
        <f>E113*100/500</f>
        <v>160.58288552027392</v>
      </c>
      <c r="D117" s="97" t="s">
        <v>126</v>
      </c>
      <c r="E117" s="102">
        <f t="shared" si="25"/>
        <v>160.58288552027392</v>
      </c>
      <c r="F117" s="3">
        <v>1</v>
      </c>
      <c r="G117" s="72">
        <f t="shared" si="26"/>
        <v>34.611980000000003</v>
      </c>
      <c r="H117" s="73">
        <f t="shared" si="27"/>
        <v>5558.0916219700111</v>
      </c>
      <c r="I117" s="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4.25" customHeight="1" x14ac:dyDescent="0.35">
      <c r="A118" s="3"/>
      <c r="B118" s="3" t="s">
        <v>130</v>
      </c>
      <c r="C118" s="3">
        <v>1</v>
      </c>
      <c r="D118" s="97" t="s">
        <v>126</v>
      </c>
      <c r="E118" s="102">
        <f t="shared" si="25"/>
        <v>1</v>
      </c>
      <c r="F118" s="3">
        <v>1</v>
      </c>
      <c r="G118" s="72">
        <f>Y27</f>
        <v>21400</v>
      </c>
      <c r="H118" s="73">
        <f t="shared" si="27"/>
        <v>21400</v>
      </c>
      <c r="I118" s="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4.25" customHeight="1" x14ac:dyDescent="0.35">
      <c r="A119" s="3"/>
      <c r="B119" s="3"/>
      <c r="C119" s="3"/>
      <c r="D119" s="97"/>
      <c r="E119" s="102"/>
      <c r="F119" s="3"/>
      <c r="G119" s="72"/>
      <c r="H119" s="73"/>
      <c r="I119" s="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4.25" customHeight="1" x14ac:dyDescent="0.35">
      <c r="A120" s="81"/>
      <c r="B120" s="81"/>
      <c r="C120" s="81"/>
      <c r="D120" s="81"/>
      <c r="E120" s="81"/>
      <c r="F120" s="81"/>
      <c r="G120" s="81"/>
      <c r="H120" s="82">
        <f>SUM(H113:H119)</f>
        <v>15894372.616428541</v>
      </c>
      <c r="I120" s="4" t="s">
        <v>56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4.25" customHeight="1" x14ac:dyDescent="0.35">
      <c r="A121" s="93"/>
      <c r="B121" s="74" t="s">
        <v>136</v>
      </c>
      <c r="C121" s="68"/>
      <c r="D121" s="68"/>
      <c r="E121" s="68"/>
      <c r="F121" s="66"/>
      <c r="G121" s="66"/>
      <c r="H121" s="67"/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4.25" customHeight="1" x14ac:dyDescent="0.35">
      <c r="A122" s="95"/>
      <c r="B122" s="68" t="s">
        <v>16</v>
      </c>
      <c r="C122" s="69" t="s">
        <v>116</v>
      </c>
      <c r="D122" s="69" t="s">
        <v>117</v>
      </c>
      <c r="E122" s="69" t="s">
        <v>118</v>
      </c>
      <c r="F122" s="69" t="s">
        <v>90</v>
      </c>
      <c r="G122" s="69" t="s">
        <v>91</v>
      </c>
      <c r="H122" s="70" t="s">
        <v>92</v>
      </c>
      <c r="I122" s="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4.25" customHeight="1" x14ac:dyDescent="0.35">
      <c r="A123" s="71" t="s">
        <v>120</v>
      </c>
      <c r="B123" s="3" t="s">
        <v>136</v>
      </c>
      <c r="C123" s="74">
        <v>50</v>
      </c>
      <c r="D123" s="96" t="s">
        <v>126</v>
      </c>
      <c r="E123" s="102">
        <f>IF(D123="Kg",$E$27,IF(D123="BSA",$E$26,1))*C123</f>
        <v>50</v>
      </c>
      <c r="F123" s="96">
        <v>1</v>
      </c>
      <c r="G123" s="72">
        <f t="shared" ref="G123" si="28">IFERROR(_xlfn.XLOOKUP(B123,$U$40:$U$59,$AD$40:$AD$59),0)</f>
        <v>17561.25</v>
      </c>
      <c r="H123" s="73">
        <f>G123*F123*E123</f>
        <v>878062.5</v>
      </c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4.25" customHeight="1" x14ac:dyDescent="0.35">
      <c r="A124" s="81"/>
      <c r="B124" s="81"/>
      <c r="C124" s="81"/>
      <c r="D124" s="81"/>
      <c r="E124" s="81"/>
      <c r="F124" s="81"/>
      <c r="G124" s="81"/>
      <c r="H124" s="82">
        <f>SUM(H123:H123)</f>
        <v>878062.5</v>
      </c>
      <c r="I124" s="4" t="s">
        <v>60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4.25" customHeight="1" x14ac:dyDescent="0.45">
      <c r="A125" s="101" t="s">
        <v>150</v>
      </c>
      <c r="B125" s="84"/>
      <c r="C125" s="84"/>
      <c r="D125" s="84"/>
      <c r="E125" s="84"/>
      <c r="F125" s="84"/>
      <c r="G125" s="84"/>
      <c r="H125" s="84"/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4.25" customHeight="1" x14ac:dyDescent="0.35">
      <c r="A126" s="93"/>
      <c r="B126" s="120" t="s">
        <v>151</v>
      </c>
      <c r="C126" s="68"/>
      <c r="D126" s="68"/>
      <c r="E126" s="68"/>
      <c r="F126" s="66"/>
      <c r="G126" s="66"/>
      <c r="H126" s="67"/>
      <c r="I126" s="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4.25" customHeight="1" x14ac:dyDescent="0.35">
      <c r="A127" s="95"/>
      <c r="B127" s="68" t="s">
        <v>16</v>
      </c>
      <c r="C127" s="69" t="s">
        <v>152</v>
      </c>
      <c r="D127" s="69" t="s">
        <v>117</v>
      </c>
      <c r="E127" s="69" t="s">
        <v>118</v>
      </c>
      <c r="F127" s="69" t="s">
        <v>90</v>
      </c>
      <c r="G127" s="69" t="s">
        <v>91</v>
      </c>
      <c r="H127" s="70" t="s">
        <v>92</v>
      </c>
      <c r="I127" s="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4.25" customHeight="1" x14ac:dyDescent="0.35">
      <c r="A128" s="71"/>
      <c r="B128" s="3" t="s">
        <v>25</v>
      </c>
      <c r="C128" s="74">
        <v>1</v>
      </c>
      <c r="D128" s="97" t="s">
        <v>126</v>
      </c>
      <c r="E128" s="102">
        <v>10</v>
      </c>
      <c r="F128" s="96">
        <v>1</v>
      </c>
      <c r="G128" s="72">
        <f>Y7</f>
        <v>234350</v>
      </c>
      <c r="H128" s="73">
        <f t="shared" ref="H128:H133" si="29">G128*F128*E128</f>
        <v>2343500</v>
      </c>
      <c r="I128" s="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6" ht="14" customHeight="1" x14ac:dyDescent="0.35">
      <c r="A129" s="71"/>
      <c r="B129" s="3" t="s">
        <v>103</v>
      </c>
      <c r="C129" s="3">
        <v>1</v>
      </c>
      <c r="D129" s="97" t="s">
        <v>126</v>
      </c>
      <c r="E129" s="102">
        <f>IF(D129="Kg",$E$27,IF(D129="BSA",$E$26,1))*C129</f>
        <v>1</v>
      </c>
      <c r="F129" s="3">
        <v>1</v>
      </c>
      <c r="G129" s="72">
        <f>Y28</f>
        <v>106000</v>
      </c>
      <c r="H129" s="73">
        <f t="shared" si="29"/>
        <v>106000</v>
      </c>
      <c r="I129" s="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6" ht="14.25" customHeight="1" x14ac:dyDescent="0.35">
      <c r="A130" s="71"/>
      <c r="B130" s="111" t="s">
        <v>95</v>
      </c>
      <c r="C130" s="3">
        <v>1</v>
      </c>
      <c r="D130" s="97" t="s">
        <v>126</v>
      </c>
      <c r="E130" s="102">
        <f>IF(D130="Kg",$E$27,IF(D130="BSA",$E$26,1))*C130</f>
        <v>1</v>
      </c>
      <c r="F130" s="3">
        <v>1</v>
      </c>
      <c r="G130" s="72">
        <f>Y31</f>
        <v>198900</v>
      </c>
      <c r="H130" s="73">
        <f t="shared" si="29"/>
        <v>198900</v>
      </c>
      <c r="I130" s="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6" ht="14.25" customHeight="1" x14ac:dyDescent="0.35">
      <c r="A131" s="74"/>
      <c r="B131" s="3" t="s">
        <v>153</v>
      </c>
      <c r="C131" s="3">
        <v>1</v>
      </c>
      <c r="D131" s="97" t="s">
        <v>126</v>
      </c>
      <c r="E131" s="102">
        <f>IF(D131="Kg",$E$27,IF(D131="BSA",$E$26,1))*C131</f>
        <v>1</v>
      </c>
      <c r="F131" s="3">
        <v>1</v>
      </c>
      <c r="G131" s="72">
        <f>Y30</f>
        <v>141000</v>
      </c>
      <c r="H131" s="73">
        <f t="shared" si="29"/>
        <v>141000</v>
      </c>
      <c r="I131" s="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6" ht="14.25" customHeight="1" x14ac:dyDescent="0.35">
      <c r="A132" s="74"/>
      <c r="B132" s="3" t="s">
        <v>143</v>
      </c>
      <c r="C132" s="3">
        <v>150</v>
      </c>
      <c r="D132" s="97" t="s">
        <v>80</v>
      </c>
      <c r="E132" s="102">
        <f>IF(D132="Kg",$E$27,IF(D132="BSA",$E$26,1))*C132</f>
        <v>8544.375</v>
      </c>
      <c r="F132" s="3">
        <v>3</v>
      </c>
      <c r="G132" s="72">
        <f t="shared" ref="G132" si="30">IFERROR(_xlfn.XLOOKUP(B132,$U$40:$U$59,$AD$40:$AD$59),0)</f>
        <v>105.45415840978593</v>
      </c>
      <c r="H132" s="73">
        <f t="shared" si="29"/>
        <v>2703119.6242878442</v>
      </c>
      <c r="I132" s="4" t="s">
        <v>154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6" ht="14.25" customHeight="1" x14ac:dyDescent="0.35">
      <c r="A133" s="3"/>
      <c r="B133" s="3" t="s">
        <v>155</v>
      </c>
      <c r="C133" s="3">
        <v>1</v>
      </c>
      <c r="D133" s="97" t="s">
        <v>126</v>
      </c>
      <c r="E133" s="102">
        <f>IF(D133="Kg",$E$27,IF(D133="BSA",$E$26,1))*C133</f>
        <v>1</v>
      </c>
      <c r="F133" s="3">
        <v>1</v>
      </c>
      <c r="G133" s="72">
        <f>Y29</f>
        <v>757000</v>
      </c>
      <c r="H133" s="73">
        <f t="shared" si="29"/>
        <v>757000</v>
      </c>
      <c r="I133" s="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6" ht="14.25" customHeight="1" x14ac:dyDescent="0.35">
      <c r="A134" s="81"/>
      <c r="B134" s="81"/>
      <c r="C134" s="81"/>
      <c r="D134" s="81"/>
      <c r="E134" s="81"/>
      <c r="F134" s="81"/>
      <c r="G134" s="81"/>
      <c r="H134" s="82">
        <f>SUM(H128:H133)</f>
        <v>6249519.6242878437</v>
      </c>
      <c r="I134" s="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6" ht="14.25" customHeight="1" x14ac:dyDescent="0.35">
      <c r="A136" s="93"/>
      <c r="B136" s="120" t="s">
        <v>156</v>
      </c>
      <c r="C136" s="68"/>
      <c r="D136" s="68"/>
      <c r="E136" s="68"/>
      <c r="F136" s="66"/>
      <c r="G136" s="66"/>
      <c r="H136" s="67"/>
      <c r="I136" s="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6" ht="14.25" customHeight="1" x14ac:dyDescent="0.35">
      <c r="A137" s="95"/>
      <c r="B137" s="68" t="s">
        <v>16</v>
      </c>
      <c r="C137" s="69" t="s">
        <v>116</v>
      </c>
      <c r="D137" s="69" t="s">
        <v>117</v>
      </c>
      <c r="E137" s="69" t="s">
        <v>118</v>
      </c>
      <c r="F137" s="69" t="s">
        <v>90</v>
      </c>
      <c r="G137" s="69" t="s">
        <v>91</v>
      </c>
      <c r="H137" s="70" t="s">
        <v>92</v>
      </c>
      <c r="I137" s="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6" ht="14.25" customHeight="1" x14ac:dyDescent="0.35">
      <c r="A138" s="95"/>
      <c r="B138" s="3" t="s">
        <v>25</v>
      </c>
      <c r="C138" s="96">
        <v>3</v>
      </c>
      <c r="D138" s="97" t="s">
        <v>126</v>
      </c>
      <c r="E138" s="96">
        <v>1</v>
      </c>
      <c r="F138" s="96">
        <v>1</v>
      </c>
      <c r="G138" s="121">
        <f>Y7</f>
        <v>234350</v>
      </c>
      <c r="H138" s="73">
        <f>G138*F138*E138</f>
        <v>234350</v>
      </c>
      <c r="I138" s="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6" ht="14.25" customHeight="1" x14ac:dyDescent="0.35">
      <c r="A139" s="71"/>
      <c r="B139" s="3" t="s">
        <v>157</v>
      </c>
      <c r="C139" s="74">
        <v>1</v>
      </c>
      <c r="D139" s="97" t="s">
        <v>126</v>
      </c>
      <c r="E139" s="102">
        <v>1</v>
      </c>
      <c r="F139" s="96">
        <v>1</v>
      </c>
      <c r="G139" s="72">
        <f>Y32</f>
        <v>559000</v>
      </c>
      <c r="H139" s="73">
        <f>G139*F139*E139</f>
        <v>559000</v>
      </c>
      <c r="I139" s="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6" ht="14.25" customHeight="1" x14ac:dyDescent="0.35">
      <c r="A140" s="71"/>
      <c r="B140" s="3" t="s">
        <v>99</v>
      </c>
      <c r="C140" s="3">
        <v>1</v>
      </c>
      <c r="D140" s="97" t="s">
        <v>126</v>
      </c>
      <c r="E140" s="102">
        <v>1</v>
      </c>
      <c r="F140" s="3">
        <v>1</v>
      </c>
      <c r="G140" s="72">
        <f>Y33</f>
        <v>719000</v>
      </c>
      <c r="H140" s="73">
        <f>G140*F140*E140</f>
        <v>719000</v>
      </c>
      <c r="I140" s="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6" ht="14.25" customHeight="1" x14ac:dyDescent="0.35">
      <c r="A141" s="81"/>
      <c r="B141" s="81"/>
      <c r="C141" s="81"/>
      <c r="D141" s="81"/>
      <c r="E141" s="81"/>
      <c r="F141" s="81"/>
      <c r="G141" s="81"/>
      <c r="H141" s="82">
        <f>SUM(H138:H140)</f>
        <v>1512350</v>
      </c>
      <c r="I141" s="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6" ht="14.25" customHeight="1" x14ac:dyDescent="0.35">
      <c r="A143" s="122"/>
      <c r="B143" s="120" t="s">
        <v>158</v>
      </c>
      <c r="C143" s="120"/>
      <c r="D143" s="120"/>
      <c r="E143" s="120"/>
      <c r="F143" s="123"/>
      <c r="G143" s="123"/>
      <c r="H143" s="124"/>
      <c r="I143" s="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4.25" customHeight="1" x14ac:dyDescent="0.35">
      <c r="A144" s="125"/>
      <c r="B144" s="68" t="s">
        <v>16</v>
      </c>
      <c r="C144" s="69" t="s">
        <v>116</v>
      </c>
      <c r="D144" s="69" t="s">
        <v>117</v>
      </c>
      <c r="E144" s="69" t="s">
        <v>118</v>
      </c>
      <c r="F144" s="69" t="s">
        <v>90</v>
      </c>
      <c r="G144" s="69" t="s">
        <v>91</v>
      </c>
      <c r="H144" s="126" t="s">
        <v>92</v>
      </c>
      <c r="I144" s="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4.25" customHeight="1" x14ac:dyDescent="0.35">
      <c r="A145" s="127"/>
      <c r="B145" s="3" t="s">
        <v>25</v>
      </c>
      <c r="C145" s="74">
        <v>14</v>
      </c>
      <c r="D145" s="97" t="s">
        <v>126</v>
      </c>
      <c r="E145" s="128">
        <v>1</v>
      </c>
      <c r="F145" s="96">
        <v>14</v>
      </c>
      <c r="G145" s="72">
        <f>Y7</f>
        <v>234350</v>
      </c>
      <c r="H145" s="129">
        <f>G145*F145*E145</f>
        <v>3280900</v>
      </c>
      <c r="I145" s="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4.25" customHeight="1" x14ac:dyDescent="0.35">
      <c r="A146" s="127"/>
      <c r="B146" s="111" t="s">
        <v>159</v>
      </c>
      <c r="C146" s="3">
        <v>1</v>
      </c>
      <c r="D146" s="97" t="s">
        <v>126</v>
      </c>
      <c r="E146" s="128">
        <f t="shared" ref="E146:E153" si="31">IF(D146="Kg",$E$27,IF(D146="BSA",$E$26,1))*C146</f>
        <v>1</v>
      </c>
      <c r="F146" s="3">
        <v>1</v>
      </c>
      <c r="G146" s="72">
        <f>Y15</f>
        <v>64500</v>
      </c>
      <c r="H146" s="129">
        <f t="shared" ref="H146:H151" si="32">G146*F146*E146</f>
        <v>64500</v>
      </c>
      <c r="I146" s="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4.25" customHeight="1" x14ac:dyDescent="0.35">
      <c r="A147" s="127"/>
      <c r="B147" s="3" t="s">
        <v>103</v>
      </c>
      <c r="C147" s="3">
        <v>1</v>
      </c>
      <c r="D147" s="97" t="s">
        <v>126</v>
      </c>
      <c r="E147" s="128">
        <f t="shared" si="31"/>
        <v>1</v>
      </c>
      <c r="F147" s="3">
        <v>1</v>
      </c>
      <c r="G147" s="72">
        <f>Y28</f>
        <v>106000</v>
      </c>
      <c r="H147" s="129">
        <f t="shared" si="32"/>
        <v>106000</v>
      </c>
      <c r="I147" s="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4.25" customHeight="1" x14ac:dyDescent="0.35">
      <c r="A148" s="127"/>
      <c r="B148" s="3" t="s">
        <v>160</v>
      </c>
      <c r="C148" s="3">
        <v>1</v>
      </c>
      <c r="D148" s="97" t="s">
        <v>126</v>
      </c>
      <c r="E148" s="128">
        <f t="shared" si="31"/>
        <v>1</v>
      </c>
      <c r="F148" s="3">
        <v>1</v>
      </c>
      <c r="G148" s="72">
        <f>Y11</f>
        <v>56200</v>
      </c>
      <c r="H148" s="129">
        <f t="shared" si="32"/>
        <v>56200</v>
      </c>
      <c r="I148" s="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4.25" customHeight="1" x14ac:dyDescent="0.35">
      <c r="A149" s="125"/>
      <c r="B149" s="3" t="s">
        <v>161</v>
      </c>
      <c r="C149" s="3">
        <v>1</v>
      </c>
      <c r="D149" s="97" t="s">
        <v>126</v>
      </c>
      <c r="E149" s="128">
        <f t="shared" si="31"/>
        <v>1</v>
      </c>
      <c r="F149" s="3">
        <v>1</v>
      </c>
      <c r="G149" s="72">
        <f>Y22</f>
        <v>1701000</v>
      </c>
      <c r="H149" s="129">
        <f t="shared" si="32"/>
        <v>1701000</v>
      </c>
      <c r="I149" s="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4.25" customHeight="1" x14ac:dyDescent="0.35">
      <c r="A150" s="125"/>
      <c r="B150" s="3" t="s">
        <v>162</v>
      </c>
      <c r="C150" s="3">
        <v>1</v>
      </c>
      <c r="D150" s="97" t="s">
        <v>126</v>
      </c>
      <c r="E150" s="128">
        <f t="shared" si="31"/>
        <v>1</v>
      </c>
      <c r="F150" s="3">
        <v>1</v>
      </c>
      <c r="G150" s="72">
        <f>Y35</f>
        <v>16100</v>
      </c>
      <c r="H150" s="129">
        <f t="shared" si="32"/>
        <v>16100</v>
      </c>
      <c r="I150" s="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4.25" customHeight="1" x14ac:dyDescent="0.35">
      <c r="A151" s="127"/>
      <c r="B151" s="111" t="s">
        <v>163</v>
      </c>
      <c r="C151" s="3">
        <v>1</v>
      </c>
      <c r="D151" s="97" t="s">
        <v>126</v>
      </c>
      <c r="E151" s="128">
        <f t="shared" si="31"/>
        <v>1</v>
      </c>
      <c r="F151" s="3">
        <v>1</v>
      </c>
      <c r="G151" s="72">
        <f>Y34</f>
        <v>65600</v>
      </c>
      <c r="H151" s="129">
        <f t="shared" si="32"/>
        <v>65600</v>
      </c>
      <c r="I151" s="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4.25" customHeight="1" x14ac:dyDescent="0.35">
      <c r="A152" s="127"/>
      <c r="B152" s="3" t="s">
        <v>139</v>
      </c>
      <c r="C152" s="3">
        <v>4</v>
      </c>
      <c r="D152" s="97" t="s">
        <v>126</v>
      </c>
      <c r="E152" s="128">
        <f t="shared" si="31"/>
        <v>4</v>
      </c>
      <c r="F152" s="3">
        <v>14</v>
      </c>
      <c r="G152" s="72">
        <f t="shared" ref="G152" si="33">IFERROR(_xlfn.XLOOKUP(B152,$U$40:$U$59,$AD$40:$AD$59),0)</f>
        <v>153.88239999999999</v>
      </c>
      <c r="H152" s="129">
        <f>G152*F152*E152</f>
        <v>8617.4143999999997</v>
      </c>
      <c r="I152" s="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4" customHeight="1" x14ac:dyDescent="0.35">
      <c r="A153" s="127"/>
      <c r="B153" s="3" t="s">
        <v>157</v>
      </c>
      <c r="C153" s="3">
        <v>1</v>
      </c>
      <c r="D153" s="97" t="s">
        <v>126</v>
      </c>
      <c r="E153" s="128">
        <f t="shared" si="31"/>
        <v>1</v>
      </c>
      <c r="F153" s="3">
        <f>F145/2</f>
        <v>7</v>
      </c>
      <c r="G153" s="72">
        <f>Y32</f>
        <v>559000</v>
      </c>
      <c r="H153" s="129">
        <f>G153*F153*E153</f>
        <v>3913000</v>
      </c>
      <c r="I153" s="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4.25" customHeight="1" x14ac:dyDescent="0.35">
      <c r="A154" s="81"/>
      <c r="B154" s="81"/>
      <c r="C154" s="81"/>
      <c r="D154" s="81"/>
      <c r="E154" s="81"/>
      <c r="F154" s="81"/>
      <c r="G154" s="81"/>
      <c r="H154" s="82">
        <f>SUM(H145:H153)</f>
        <v>9211917.4144000001</v>
      </c>
      <c r="I154" s="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4.25" customHeight="1" x14ac:dyDescent="0.35">
      <c r="A156" s="122"/>
      <c r="B156" s="120" t="s">
        <v>164</v>
      </c>
      <c r="C156" s="120"/>
      <c r="D156" s="120"/>
      <c r="E156" s="120"/>
      <c r="F156" s="123"/>
      <c r="G156" s="123"/>
      <c r="H156" s="124"/>
      <c r="I156" s="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14.25" customHeight="1" x14ac:dyDescent="0.35">
      <c r="A157" s="125"/>
      <c r="B157" s="68" t="s">
        <v>16</v>
      </c>
      <c r="C157" s="69" t="s">
        <v>116</v>
      </c>
      <c r="D157" s="69" t="s">
        <v>117</v>
      </c>
      <c r="E157" s="69" t="s">
        <v>118</v>
      </c>
      <c r="F157" s="69" t="s">
        <v>90</v>
      </c>
      <c r="G157" s="69" t="s">
        <v>91</v>
      </c>
      <c r="H157" s="126" t="s">
        <v>92</v>
      </c>
      <c r="I157" s="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14.25" customHeight="1" x14ac:dyDescent="0.35">
      <c r="A158" s="127"/>
      <c r="B158" s="3" t="s">
        <v>25</v>
      </c>
      <c r="C158" s="74">
        <v>14</v>
      </c>
      <c r="D158" s="97" t="s">
        <v>126</v>
      </c>
      <c r="E158" s="128">
        <v>1</v>
      </c>
      <c r="F158" s="96">
        <v>14</v>
      </c>
      <c r="G158" s="72">
        <f>G145</f>
        <v>234350</v>
      </c>
      <c r="H158" s="129">
        <f>G158*F158*E158</f>
        <v>3280900</v>
      </c>
      <c r="I158" s="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14.25" customHeight="1" x14ac:dyDescent="0.35">
      <c r="A159" s="127"/>
      <c r="B159" s="111" t="s">
        <v>159</v>
      </c>
      <c r="C159" s="3">
        <v>1</v>
      </c>
      <c r="D159" s="97" t="s">
        <v>126</v>
      </c>
      <c r="E159" s="128">
        <f t="shared" ref="E159:E166" si="34">IF(D159="Kg",$E$27,IF(D159="BSA",$E$26,1))*C159</f>
        <v>1</v>
      </c>
      <c r="F159" s="3">
        <v>1</v>
      </c>
      <c r="G159" s="72">
        <f t="shared" ref="G159:G160" si="35">G146</f>
        <v>64500</v>
      </c>
      <c r="H159" s="129">
        <f t="shared" ref="H159:H164" si="36">G159*F159*E159</f>
        <v>64500</v>
      </c>
      <c r="I159" s="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14.25" customHeight="1" x14ac:dyDescent="0.35">
      <c r="A160" s="127"/>
      <c r="B160" s="3" t="s">
        <v>103</v>
      </c>
      <c r="C160" s="3">
        <v>1</v>
      </c>
      <c r="D160" s="97" t="s">
        <v>126</v>
      </c>
      <c r="E160" s="128">
        <f t="shared" si="34"/>
        <v>1</v>
      </c>
      <c r="F160" s="3">
        <v>1</v>
      </c>
      <c r="G160" s="72">
        <f t="shared" si="35"/>
        <v>106000</v>
      </c>
      <c r="H160" s="129">
        <f t="shared" si="36"/>
        <v>106000</v>
      </c>
      <c r="I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ht="14.25" customHeight="1" x14ac:dyDescent="0.35">
      <c r="A161" s="127"/>
      <c r="B161" s="3" t="s">
        <v>160</v>
      </c>
      <c r="C161" s="3">
        <v>1</v>
      </c>
      <c r="D161" s="97" t="s">
        <v>126</v>
      </c>
      <c r="E161" s="128">
        <f t="shared" si="34"/>
        <v>1</v>
      </c>
      <c r="F161" s="3">
        <v>1</v>
      </c>
      <c r="G161" s="72">
        <f>G148</f>
        <v>56200</v>
      </c>
      <c r="H161" s="129">
        <f t="shared" si="36"/>
        <v>56200</v>
      </c>
      <c r="I161" s="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ht="14.25" customHeight="1" x14ac:dyDescent="0.35">
      <c r="A162" s="125"/>
      <c r="B162" s="3" t="s">
        <v>161</v>
      </c>
      <c r="C162" s="3">
        <v>1</v>
      </c>
      <c r="D162" s="97" t="s">
        <v>126</v>
      </c>
      <c r="E162" s="128">
        <f t="shared" si="34"/>
        <v>1</v>
      </c>
      <c r="F162" s="3">
        <v>1</v>
      </c>
      <c r="G162" s="72">
        <f>G149</f>
        <v>1701000</v>
      </c>
      <c r="H162" s="129">
        <f t="shared" si="36"/>
        <v>1701000</v>
      </c>
      <c r="I162" s="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ht="14.25" customHeight="1" x14ac:dyDescent="0.35">
      <c r="A163" s="125"/>
      <c r="B163" s="3" t="s">
        <v>162</v>
      </c>
      <c r="C163" s="3">
        <v>1</v>
      </c>
      <c r="D163" s="97" t="s">
        <v>126</v>
      </c>
      <c r="E163" s="128">
        <f t="shared" si="34"/>
        <v>1</v>
      </c>
      <c r="F163" s="3">
        <v>1</v>
      </c>
      <c r="G163" s="72">
        <f>G150</f>
        <v>16100</v>
      </c>
      <c r="H163" s="129">
        <f t="shared" si="36"/>
        <v>16100</v>
      </c>
      <c r="I163" s="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ht="14.25" customHeight="1" x14ac:dyDescent="0.35">
      <c r="A164" s="127"/>
      <c r="B164" s="111" t="s">
        <v>163</v>
      </c>
      <c r="C164" s="3">
        <v>1</v>
      </c>
      <c r="D164" s="97" t="s">
        <v>126</v>
      </c>
      <c r="E164" s="128">
        <f t="shared" si="34"/>
        <v>1</v>
      </c>
      <c r="F164" s="3">
        <v>1</v>
      </c>
      <c r="G164" s="72">
        <f t="shared" ref="G164" si="37">G151</f>
        <v>65600</v>
      </c>
      <c r="H164" s="129">
        <f t="shared" si="36"/>
        <v>65600</v>
      </c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ht="14.25" customHeight="1" x14ac:dyDescent="0.35">
      <c r="A165" s="127"/>
      <c r="B165" s="3" t="s">
        <v>144</v>
      </c>
      <c r="C165" s="3">
        <v>4</v>
      </c>
      <c r="D165" s="97" t="s">
        <v>165</v>
      </c>
      <c r="E165" s="128">
        <f t="shared" si="34"/>
        <v>227.85</v>
      </c>
      <c r="F165" s="3">
        <v>14</v>
      </c>
      <c r="G165" s="72">
        <f t="shared" ref="G165" si="38">IFERROR(_xlfn.XLOOKUP(B165,$U$40:$U$59,$AD$40:$AD$59),0)</f>
        <v>95.709090909090932</v>
      </c>
      <c r="H165" s="129">
        <f>G165*F165*E165</f>
        <v>305302.42909090914</v>
      </c>
      <c r="I165" s="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ht="14.25" customHeight="1" x14ac:dyDescent="0.35">
      <c r="A166" s="127"/>
      <c r="B166" s="3" t="s">
        <v>157</v>
      </c>
      <c r="C166" s="3">
        <v>1</v>
      </c>
      <c r="D166" s="97" t="s">
        <v>126</v>
      </c>
      <c r="E166" s="128">
        <f t="shared" si="34"/>
        <v>1</v>
      </c>
      <c r="F166" s="3">
        <f>F158/2</f>
        <v>7</v>
      </c>
      <c r="G166" s="72">
        <f>G153</f>
        <v>559000</v>
      </c>
      <c r="H166" s="129">
        <f>G166*F166*E166</f>
        <v>3913000</v>
      </c>
      <c r="I166" s="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ht="14.25" customHeight="1" x14ac:dyDescent="0.35">
      <c r="A167" s="81"/>
      <c r="B167" s="81"/>
      <c r="C167" s="81"/>
      <c r="D167" s="81"/>
      <c r="E167" s="81"/>
      <c r="F167" s="81"/>
      <c r="G167" s="81"/>
      <c r="H167" s="82">
        <f>SUM(H158:H166)</f>
        <v>9508602.4290909097</v>
      </c>
      <c r="I167" s="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  <row r="221" spans="1:3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</row>
    <row r="222" spans="1:3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</row>
    <row r="223" spans="1:3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</row>
    <row r="224" spans="1:3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</row>
    <row r="225" spans="1:3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</row>
    <row r="226" spans="1:3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</row>
    <row r="227" spans="1:3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</row>
    <row r="228" spans="1:3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</row>
    <row r="229" spans="1:3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</row>
    <row r="230" spans="1:3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</row>
    <row r="231" spans="1:3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 ht="14.25" customHeight="1" x14ac:dyDescent="0.35">
      <c r="A257" s="3"/>
      <c r="B257" s="3"/>
      <c r="C257" s="3"/>
      <c r="D257" s="3"/>
      <c r="E257" s="3"/>
      <c r="F257" s="3"/>
      <c r="G257" s="3"/>
      <c r="H257" s="3"/>
      <c r="I257" s="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 ht="14.25" customHeight="1" x14ac:dyDescent="0.35">
      <c r="A258" s="3"/>
      <c r="B258" s="3"/>
      <c r="C258" s="3"/>
      <c r="D258" s="3"/>
      <c r="E258" s="3"/>
      <c r="F258" s="3"/>
      <c r="G258" s="3"/>
      <c r="H258" s="3"/>
      <c r="I258" s="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 ht="14.25" customHeight="1" x14ac:dyDescent="0.35">
      <c r="A259" s="3"/>
      <c r="B259" s="3"/>
      <c r="C259" s="3"/>
      <c r="D259" s="3"/>
      <c r="E259" s="3"/>
      <c r="F259" s="3"/>
      <c r="G259" s="3"/>
      <c r="H259" s="3"/>
      <c r="I259" s="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 ht="14.25" customHeight="1" x14ac:dyDescent="0.35">
      <c r="A260" s="3"/>
      <c r="B260" s="3"/>
      <c r="C260" s="3"/>
      <c r="D260" s="3"/>
      <c r="E260" s="3"/>
      <c r="F260" s="3"/>
      <c r="G260" s="3"/>
      <c r="H260" s="3"/>
      <c r="I260" s="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 ht="14.25" customHeight="1" x14ac:dyDescent="0.35">
      <c r="A261" s="3"/>
      <c r="B261" s="3"/>
      <c r="C261" s="3"/>
      <c r="D261" s="3"/>
      <c r="E261" s="3"/>
      <c r="F261" s="3"/>
      <c r="G261" s="3"/>
      <c r="H261" s="3"/>
      <c r="I261" s="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 ht="14.25" customHeight="1" x14ac:dyDescent="0.35">
      <c r="A262" s="3"/>
      <c r="B262" s="3"/>
      <c r="C262" s="3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 ht="14.25" customHeight="1" x14ac:dyDescent="0.35">
      <c r="A263" s="3"/>
      <c r="B263" s="3"/>
      <c r="C263" s="3"/>
      <c r="D263" s="3"/>
      <c r="E263" s="3"/>
      <c r="F263" s="3"/>
      <c r="G263" s="3"/>
      <c r="H263" s="3"/>
      <c r="I263" s="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</row>
    <row r="264" spans="1:36" ht="14.25" customHeight="1" x14ac:dyDescent="0.35">
      <c r="A264" s="3"/>
      <c r="B264" s="3"/>
      <c r="C264" s="3"/>
      <c r="D264" s="3"/>
      <c r="E264" s="3"/>
      <c r="F264" s="3"/>
      <c r="G264" s="3"/>
      <c r="H264" s="3"/>
      <c r="I264" s="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</row>
    <row r="265" spans="1:36" ht="14.25" customHeight="1" x14ac:dyDescent="0.35">
      <c r="A265" s="3"/>
      <c r="B265" s="3"/>
      <c r="C265" s="3"/>
      <c r="D265" s="3"/>
      <c r="E265" s="3"/>
      <c r="F265" s="3"/>
      <c r="G265" s="3"/>
      <c r="H265" s="3"/>
      <c r="I265" s="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</row>
    <row r="266" spans="1:36" ht="14.25" customHeight="1" x14ac:dyDescent="0.35">
      <c r="A266" s="3"/>
      <c r="B266" s="3"/>
      <c r="C266" s="3"/>
      <c r="D266" s="3"/>
      <c r="E266" s="3"/>
      <c r="F266" s="3"/>
      <c r="G266" s="3"/>
      <c r="H266" s="3"/>
      <c r="I266" s="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</row>
    <row r="267" spans="1:36" ht="14.25" customHeight="1" x14ac:dyDescent="0.35">
      <c r="A267" s="3"/>
      <c r="B267" s="3"/>
      <c r="C267" s="3"/>
      <c r="D267" s="3"/>
      <c r="E267" s="3"/>
      <c r="F267" s="3"/>
      <c r="G267" s="3"/>
      <c r="H267" s="3"/>
      <c r="I267" s="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</row>
    <row r="268" spans="1:36" ht="14.25" customHeight="1" x14ac:dyDescent="0.35">
      <c r="A268" s="3"/>
      <c r="B268" s="3"/>
      <c r="C268" s="3"/>
      <c r="D268" s="3"/>
      <c r="E268" s="3"/>
      <c r="F268" s="3"/>
      <c r="G268" s="3"/>
      <c r="H268" s="3"/>
      <c r="I268" s="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</row>
    <row r="269" spans="1:36" ht="14.25" customHeight="1" x14ac:dyDescent="0.35">
      <c r="A269" s="3"/>
      <c r="B269" s="3"/>
      <c r="C269" s="3"/>
      <c r="D269" s="3"/>
      <c r="E269" s="3"/>
      <c r="F269" s="3"/>
      <c r="G269" s="3"/>
      <c r="H269" s="3"/>
      <c r="I269" s="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</row>
    <row r="270" spans="1:36" ht="14.25" customHeight="1" x14ac:dyDescent="0.35">
      <c r="A270" s="3"/>
      <c r="B270" s="3"/>
      <c r="C270" s="3"/>
      <c r="D270" s="3"/>
      <c r="E270" s="3"/>
      <c r="F270" s="3"/>
      <c r="G270" s="3"/>
      <c r="H270" s="3"/>
      <c r="I270" s="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</row>
    <row r="271" spans="1:36" ht="14.25" customHeight="1" x14ac:dyDescent="0.35">
      <c r="A271" s="3"/>
      <c r="B271" s="3"/>
      <c r="C271" s="3"/>
      <c r="D271" s="3"/>
      <c r="E271" s="3"/>
      <c r="F271" s="3"/>
      <c r="G271" s="3"/>
      <c r="H271" s="3"/>
      <c r="I271" s="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</row>
    <row r="272" spans="1:36" ht="14.25" customHeight="1" x14ac:dyDescent="0.35">
      <c r="A272" s="3"/>
      <c r="B272" s="3"/>
      <c r="C272" s="3"/>
      <c r="D272" s="3"/>
      <c r="E272" s="3"/>
      <c r="F272" s="3"/>
      <c r="G272" s="3"/>
      <c r="H272" s="3"/>
      <c r="I272" s="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</row>
    <row r="273" spans="1:36" ht="14.25" customHeight="1" x14ac:dyDescent="0.35">
      <c r="A273" s="3"/>
      <c r="B273" s="3"/>
      <c r="C273" s="3"/>
      <c r="D273" s="3"/>
      <c r="E273" s="3"/>
      <c r="F273" s="3"/>
      <c r="G273" s="3"/>
      <c r="H273" s="3"/>
      <c r="I273" s="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</row>
    <row r="274" spans="1:36" ht="14.25" customHeight="1" x14ac:dyDescent="0.35">
      <c r="A274" s="3"/>
      <c r="B274" s="3"/>
      <c r="C274" s="3"/>
      <c r="D274" s="3"/>
      <c r="E274" s="3"/>
      <c r="F274" s="3"/>
      <c r="G274" s="3"/>
      <c r="H274" s="3"/>
      <c r="I274" s="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</row>
    <row r="275" spans="1:36" ht="14.25" customHeight="1" x14ac:dyDescent="0.35">
      <c r="A275" s="3"/>
      <c r="B275" s="3"/>
      <c r="C275" s="3"/>
      <c r="D275" s="3"/>
      <c r="E275" s="3"/>
      <c r="F275" s="3"/>
      <c r="G275" s="3"/>
      <c r="H275" s="3"/>
      <c r="I275" s="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</row>
    <row r="276" spans="1:36" ht="14.25" customHeight="1" x14ac:dyDescent="0.35">
      <c r="A276" s="3"/>
      <c r="B276" s="3"/>
      <c r="C276" s="3"/>
      <c r="D276" s="3"/>
      <c r="E276" s="3"/>
      <c r="F276" s="3"/>
      <c r="G276" s="3"/>
      <c r="H276" s="3"/>
      <c r="I276" s="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</row>
    <row r="277" spans="1:36" ht="14.25" customHeight="1" x14ac:dyDescent="0.35">
      <c r="A277" s="3"/>
      <c r="B277" s="3"/>
      <c r="C277" s="3"/>
      <c r="D277" s="3"/>
      <c r="E277" s="3"/>
      <c r="F277" s="3"/>
      <c r="G277" s="3"/>
      <c r="H277" s="3"/>
      <c r="I277" s="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</row>
    <row r="278" spans="1:36" ht="14.25" customHeight="1" x14ac:dyDescent="0.35">
      <c r="A278" s="3"/>
      <c r="B278" s="3"/>
      <c r="C278" s="3"/>
      <c r="D278" s="3"/>
      <c r="E278" s="3"/>
      <c r="F278" s="3"/>
      <c r="G278" s="3"/>
      <c r="H278" s="3"/>
      <c r="I278" s="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</row>
    <row r="279" spans="1:36" ht="14.25" customHeight="1" x14ac:dyDescent="0.35">
      <c r="A279" s="3"/>
      <c r="B279" s="3"/>
      <c r="C279" s="3"/>
      <c r="D279" s="3"/>
      <c r="E279" s="3"/>
      <c r="F279" s="3"/>
      <c r="G279" s="3"/>
      <c r="H279" s="3"/>
      <c r="I279" s="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</row>
    <row r="280" spans="1:36" ht="14.25" customHeight="1" x14ac:dyDescent="0.35">
      <c r="A280" s="3"/>
      <c r="B280" s="3"/>
      <c r="C280" s="3"/>
      <c r="D280" s="3"/>
      <c r="E280" s="3"/>
      <c r="F280" s="3"/>
      <c r="G280" s="3"/>
      <c r="H280" s="3"/>
      <c r="I280" s="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</row>
    <row r="281" spans="1:36" ht="14.25" customHeight="1" x14ac:dyDescent="0.35">
      <c r="A281" s="3"/>
      <c r="B281" s="3"/>
      <c r="C281" s="3"/>
      <c r="D281" s="3"/>
      <c r="E281" s="3"/>
      <c r="F281" s="3"/>
      <c r="G281" s="3"/>
      <c r="H281" s="3"/>
      <c r="I281" s="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</row>
    <row r="282" spans="1:36" ht="14.25" customHeight="1" x14ac:dyDescent="0.35">
      <c r="A282" s="3"/>
      <c r="B282" s="3"/>
      <c r="C282" s="3"/>
      <c r="D282" s="3"/>
      <c r="E282" s="3"/>
      <c r="F282" s="3"/>
      <c r="G282" s="3"/>
      <c r="H282" s="3"/>
      <c r="I282" s="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</row>
    <row r="283" spans="1:36" ht="14.25" customHeight="1" x14ac:dyDescent="0.35">
      <c r="A283" s="3"/>
      <c r="B283" s="3"/>
      <c r="C283" s="3"/>
      <c r="D283" s="3"/>
      <c r="E283" s="3"/>
      <c r="F283" s="3"/>
      <c r="G283" s="3"/>
      <c r="H283" s="3"/>
      <c r="I283" s="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</row>
    <row r="284" spans="1:36" ht="14.25" customHeight="1" x14ac:dyDescent="0.35">
      <c r="A284" s="3"/>
      <c r="B284" s="3"/>
      <c r="C284" s="3"/>
      <c r="D284" s="3"/>
      <c r="E284" s="3"/>
      <c r="F284" s="3"/>
      <c r="G284" s="3"/>
      <c r="H284" s="3"/>
      <c r="I284" s="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</row>
    <row r="285" spans="1:36" ht="14.25" customHeight="1" x14ac:dyDescent="0.35">
      <c r="A285" s="3"/>
      <c r="B285" s="3"/>
      <c r="C285" s="3"/>
      <c r="D285" s="3"/>
      <c r="E285" s="3"/>
      <c r="F285" s="3"/>
      <c r="G285" s="3"/>
      <c r="H285" s="3"/>
      <c r="I285" s="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</row>
    <row r="286" spans="1:36" ht="14.25" customHeight="1" x14ac:dyDescent="0.35">
      <c r="A286" s="3"/>
      <c r="B286" s="3"/>
      <c r="C286" s="3"/>
      <c r="D286" s="3"/>
      <c r="E286" s="3"/>
      <c r="F286" s="3"/>
      <c r="G286" s="3"/>
      <c r="H286" s="3"/>
      <c r="I286" s="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</row>
    <row r="287" spans="1:36" ht="14.25" customHeight="1" x14ac:dyDescent="0.35">
      <c r="A287" s="3"/>
      <c r="B287" s="3"/>
      <c r="C287" s="3"/>
      <c r="D287" s="3"/>
      <c r="E287" s="3"/>
      <c r="F287" s="3"/>
      <c r="G287" s="3"/>
      <c r="H287" s="3"/>
      <c r="I287" s="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</row>
    <row r="288" spans="1:36" ht="14.25" customHeight="1" x14ac:dyDescent="0.35">
      <c r="A288" s="3"/>
      <c r="B288" s="3"/>
      <c r="C288" s="3"/>
      <c r="D288" s="3"/>
      <c r="E288" s="3"/>
      <c r="F288" s="3"/>
      <c r="G288" s="3"/>
      <c r="H288" s="3"/>
      <c r="I288" s="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</row>
    <row r="289" spans="1:36" ht="14.25" customHeight="1" x14ac:dyDescent="0.35">
      <c r="A289" s="3"/>
      <c r="B289" s="3"/>
      <c r="C289" s="3"/>
      <c r="D289" s="3"/>
      <c r="E289" s="3"/>
      <c r="F289" s="3"/>
      <c r="G289" s="3"/>
      <c r="H289" s="3"/>
      <c r="I289" s="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</row>
    <row r="290" spans="1:36" ht="14.25" customHeight="1" x14ac:dyDescent="0.35">
      <c r="A290" s="3"/>
      <c r="B290" s="3"/>
      <c r="C290" s="3"/>
      <c r="D290" s="3"/>
      <c r="E290" s="3"/>
      <c r="F290" s="3"/>
      <c r="G290" s="3"/>
      <c r="H290" s="3"/>
      <c r="I290" s="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</row>
    <row r="291" spans="1:36" ht="14.25" customHeight="1" x14ac:dyDescent="0.35">
      <c r="A291" s="3"/>
      <c r="B291" s="3"/>
      <c r="C291" s="3"/>
      <c r="D291" s="3"/>
      <c r="E291" s="3"/>
      <c r="F291" s="3"/>
      <c r="G291" s="3"/>
      <c r="H291" s="3"/>
      <c r="I291" s="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</row>
    <row r="292" spans="1:36" ht="14.25" customHeight="1" x14ac:dyDescent="0.35">
      <c r="A292" s="3"/>
      <c r="B292" s="3"/>
      <c r="C292" s="3"/>
      <c r="D292" s="3"/>
      <c r="E292" s="3"/>
      <c r="F292" s="3"/>
      <c r="G292" s="3"/>
      <c r="H292" s="3"/>
      <c r="I292" s="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</row>
    <row r="293" spans="1:36" ht="14.25" customHeight="1" x14ac:dyDescent="0.35">
      <c r="A293" s="3"/>
      <c r="B293" s="3"/>
      <c r="C293" s="3"/>
      <c r="D293" s="3"/>
      <c r="E293" s="3"/>
      <c r="F293" s="3"/>
      <c r="G293" s="3"/>
      <c r="H293" s="3"/>
      <c r="I293" s="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4.25" customHeight="1" x14ac:dyDescent="0.35">
      <c r="A294" s="3"/>
      <c r="B294" s="3"/>
      <c r="C294" s="3"/>
      <c r="D294" s="3"/>
      <c r="E294" s="3"/>
      <c r="F294" s="3"/>
      <c r="G294" s="3"/>
      <c r="H294" s="3"/>
      <c r="I294" s="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4.25" customHeight="1" x14ac:dyDescent="0.35">
      <c r="A295" s="3"/>
      <c r="B295" s="3"/>
      <c r="C295" s="3"/>
      <c r="D295" s="3"/>
      <c r="E295" s="3"/>
      <c r="F295" s="3"/>
      <c r="G295" s="3"/>
      <c r="H295" s="3"/>
      <c r="I295" s="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4.25" customHeight="1" x14ac:dyDescent="0.35">
      <c r="A296" s="3"/>
      <c r="B296" s="3"/>
      <c r="C296" s="3"/>
      <c r="D296" s="3"/>
      <c r="E296" s="3"/>
      <c r="F296" s="3"/>
      <c r="G296" s="3"/>
      <c r="H296" s="3"/>
      <c r="I296" s="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4.25" customHeight="1" x14ac:dyDescent="0.35">
      <c r="A297" s="3"/>
      <c r="B297" s="3"/>
      <c r="C297" s="3"/>
      <c r="D297" s="3"/>
      <c r="E297" s="3"/>
      <c r="F297" s="3"/>
      <c r="G297" s="3"/>
      <c r="H297" s="3"/>
      <c r="I297" s="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4.25" customHeight="1" x14ac:dyDescent="0.35">
      <c r="A298" s="3"/>
      <c r="B298" s="3"/>
      <c r="C298" s="3"/>
      <c r="D298" s="3"/>
      <c r="E298" s="3"/>
      <c r="F298" s="3"/>
      <c r="G298" s="3"/>
      <c r="H298" s="3"/>
      <c r="I298" s="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4.25" customHeight="1" x14ac:dyDescent="0.35">
      <c r="A299" s="3"/>
      <c r="B299" s="3"/>
      <c r="C299" s="3"/>
      <c r="D299" s="3"/>
      <c r="E299" s="3"/>
      <c r="F299" s="3"/>
      <c r="G299" s="3"/>
      <c r="H299" s="3"/>
      <c r="I299" s="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4.25" customHeight="1" x14ac:dyDescent="0.35">
      <c r="A300" s="3"/>
      <c r="B300" s="3"/>
      <c r="C300" s="3"/>
      <c r="D300" s="3"/>
      <c r="E300" s="3"/>
      <c r="F300" s="3"/>
      <c r="G300" s="3"/>
      <c r="H300" s="3"/>
      <c r="I300" s="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4.25" customHeight="1" x14ac:dyDescent="0.35">
      <c r="A301" s="3"/>
      <c r="B301" s="3"/>
      <c r="C301" s="3"/>
      <c r="D301" s="3"/>
      <c r="E301" s="3"/>
      <c r="F301" s="3"/>
      <c r="G301" s="3"/>
      <c r="H301" s="3"/>
      <c r="I301" s="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4.25" customHeight="1" x14ac:dyDescent="0.35">
      <c r="A302" s="3"/>
      <c r="B302" s="3"/>
      <c r="C302" s="3"/>
      <c r="D302" s="3"/>
      <c r="E302" s="3"/>
      <c r="F302" s="3"/>
      <c r="G302" s="3"/>
      <c r="H302" s="3"/>
      <c r="I302" s="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4.25" customHeight="1" x14ac:dyDescent="0.35">
      <c r="A303" s="3"/>
      <c r="B303" s="3"/>
      <c r="C303" s="3"/>
      <c r="D303" s="3"/>
      <c r="E303" s="3"/>
      <c r="F303" s="3"/>
      <c r="G303" s="3"/>
      <c r="H303" s="3"/>
      <c r="I303" s="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4.25" customHeight="1" x14ac:dyDescent="0.35">
      <c r="A304" s="3"/>
      <c r="B304" s="3"/>
      <c r="C304" s="3"/>
      <c r="D304" s="3"/>
      <c r="E304" s="3"/>
      <c r="F304" s="3"/>
      <c r="G304" s="3"/>
      <c r="H304" s="3"/>
      <c r="I304" s="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4.25" customHeight="1" x14ac:dyDescent="0.35">
      <c r="A305" s="3"/>
      <c r="B305" s="3"/>
      <c r="C305" s="3"/>
      <c r="D305" s="3"/>
      <c r="E305" s="3"/>
      <c r="F305" s="3"/>
      <c r="G305" s="3"/>
      <c r="H305" s="3"/>
      <c r="I305" s="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4.25" customHeight="1" x14ac:dyDescent="0.35">
      <c r="A306" s="3"/>
      <c r="B306" s="3"/>
      <c r="C306" s="3"/>
      <c r="D306" s="3"/>
      <c r="E306" s="3"/>
      <c r="F306" s="3"/>
      <c r="G306" s="3"/>
      <c r="H306" s="3"/>
      <c r="I306" s="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4.25" customHeight="1" x14ac:dyDescent="0.35">
      <c r="A307" s="3"/>
      <c r="B307" s="3"/>
      <c r="C307" s="3"/>
      <c r="D307" s="3"/>
      <c r="E307" s="3"/>
      <c r="F307" s="3"/>
      <c r="G307" s="3"/>
      <c r="H307" s="3"/>
      <c r="I307" s="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4.25" customHeight="1" x14ac:dyDescent="0.35">
      <c r="A308" s="3"/>
      <c r="B308" s="3"/>
      <c r="C308" s="3"/>
      <c r="D308" s="3"/>
      <c r="E308" s="3"/>
      <c r="F308" s="3"/>
      <c r="G308" s="3"/>
      <c r="H308" s="3"/>
      <c r="I308" s="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4.25" customHeight="1" x14ac:dyDescent="0.35">
      <c r="A309" s="3"/>
      <c r="B309" s="3"/>
      <c r="C309" s="3"/>
      <c r="D309" s="3"/>
      <c r="E309" s="3"/>
      <c r="F309" s="3"/>
      <c r="G309" s="3"/>
      <c r="H309" s="3"/>
      <c r="I309" s="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4.25" customHeight="1" x14ac:dyDescent="0.35">
      <c r="A310" s="3"/>
      <c r="B310" s="3"/>
      <c r="C310" s="3"/>
      <c r="D310" s="3"/>
      <c r="E310" s="3"/>
      <c r="F310" s="3"/>
      <c r="G310" s="3"/>
      <c r="H310" s="3"/>
      <c r="I310" s="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4.25" customHeight="1" x14ac:dyDescent="0.35">
      <c r="A311" s="3"/>
      <c r="B311" s="3"/>
      <c r="C311" s="3"/>
      <c r="D311" s="3"/>
      <c r="E311" s="3"/>
      <c r="F311" s="3"/>
      <c r="G311" s="3"/>
      <c r="H311" s="3"/>
      <c r="I311" s="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4.25" customHeight="1" x14ac:dyDescent="0.35">
      <c r="A312" s="3"/>
      <c r="B312" s="3"/>
      <c r="C312" s="3"/>
      <c r="D312" s="3"/>
      <c r="E312" s="3"/>
      <c r="F312" s="3"/>
      <c r="G312" s="3"/>
      <c r="H312" s="3"/>
      <c r="I312" s="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4.25" customHeight="1" x14ac:dyDescent="0.35">
      <c r="A313" s="3"/>
      <c r="B313" s="3"/>
      <c r="C313" s="3"/>
      <c r="D313" s="3"/>
      <c r="E313" s="3"/>
      <c r="F313" s="3"/>
      <c r="G313" s="3"/>
      <c r="H313" s="3"/>
      <c r="I313" s="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4.25" customHeight="1" x14ac:dyDescent="0.35">
      <c r="A314" s="3"/>
      <c r="B314" s="3"/>
      <c r="C314" s="3"/>
      <c r="D314" s="3"/>
      <c r="E314" s="3"/>
      <c r="F314" s="3"/>
      <c r="G314" s="3"/>
      <c r="H314" s="3"/>
      <c r="I314" s="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4.25" customHeight="1" x14ac:dyDescent="0.35">
      <c r="A315" s="3"/>
      <c r="B315" s="3"/>
      <c r="C315" s="3"/>
      <c r="D315" s="3"/>
      <c r="E315" s="3"/>
      <c r="F315" s="3"/>
      <c r="G315" s="3"/>
      <c r="H315" s="3"/>
      <c r="I315" s="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4.25" customHeight="1" x14ac:dyDescent="0.35">
      <c r="A316" s="3"/>
      <c r="B316" s="3"/>
      <c r="C316" s="3"/>
      <c r="D316" s="3"/>
      <c r="E316" s="3"/>
      <c r="F316" s="3"/>
      <c r="G316" s="3"/>
      <c r="H316" s="3"/>
      <c r="I316" s="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4.25" customHeight="1" x14ac:dyDescent="0.35">
      <c r="A317" s="3"/>
      <c r="B317" s="3"/>
      <c r="C317" s="3"/>
      <c r="D317" s="3"/>
      <c r="E317" s="3"/>
      <c r="F317" s="3"/>
      <c r="G317" s="3"/>
      <c r="H317" s="3"/>
      <c r="I317" s="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4.25" customHeight="1" x14ac:dyDescent="0.35">
      <c r="A318" s="3"/>
      <c r="B318" s="3"/>
      <c r="C318" s="3"/>
      <c r="D318" s="3"/>
      <c r="E318" s="3"/>
      <c r="F318" s="3"/>
      <c r="G318" s="3"/>
      <c r="H318" s="3"/>
      <c r="I318" s="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4.25" customHeight="1" x14ac:dyDescent="0.35">
      <c r="A319" s="3"/>
      <c r="B319" s="3"/>
      <c r="C319" s="3"/>
      <c r="D319" s="3"/>
      <c r="E319" s="3"/>
      <c r="F319" s="3"/>
      <c r="G319" s="3"/>
      <c r="H319" s="3"/>
      <c r="I319" s="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4.25" customHeight="1" x14ac:dyDescent="0.35">
      <c r="A320" s="3"/>
      <c r="B320" s="3"/>
      <c r="C320" s="3"/>
      <c r="D320" s="3"/>
      <c r="E320" s="3"/>
      <c r="F320" s="3"/>
      <c r="G320" s="3"/>
      <c r="H320" s="3"/>
      <c r="I320" s="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4.25" customHeight="1" x14ac:dyDescent="0.35">
      <c r="A321" s="3"/>
      <c r="B321" s="3"/>
      <c r="C321" s="3"/>
      <c r="D321" s="3"/>
      <c r="E321" s="3"/>
      <c r="F321" s="3"/>
      <c r="G321" s="3"/>
      <c r="H321" s="3"/>
      <c r="I321" s="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4.25" customHeight="1" x14ac:dyDescent="0.35">
      <c r="A322" s="3"/>
      <c r="B322" s="3"/>
      <c r="C322" s="3"/>
      <c r="D322" s="3"/>
      <c r="E322" s="3"/>
      <c r="F322" s="3"/>
      <c r="G322" s="3"/>
      <c r="H322" s="3"/>
      <c r="I322" s="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4.25" customHeight="1" x14ac:dyDescent="0.35">
      <c r="A323" s="3"/>
      <c r="B323" s="3"/>
      <c r="C323" s="3"/>
      <c r="D323" s="3"/>
      <c r="E323" s="3"/>
      <c r="F323" s="3"/>
      <c r="G323" s="3"/>
      <c r="H323" s="3"/>
      <c r="I323" s="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4.25" customHeight="1" x14ac:dyDescent="0.35">
      <c r="A324" s="3"/>
      <c r="B324" s="3"/>
      <c r="C324" s="3"/>
      <c r="D324" s="3"/>
      <c r="E324" s="3"/>
      <c r="F324" s="3"/>
      <c r="G324" s="3"/>
      <c r="H324" s="3"/>
      <c r="I324" s="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4.25" customHeight="1" x14ac:dyDescent="0.35">
      <c r="A325" s="3"/>
      <c r="B325" s="3"/>
      <c r="C325" s="3"/>
      <c r="D325" s="3"/>
      <c r="E325" s="3"/>
      <c r="F325" s="3"/>
      <c r="G325" s="3"/>
      <c r="H325" s="3"/>
      <c r="I325" s="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4.25" customHeight="1" x14ac:dyDescent="0.35">
      <c r="A326" s="3"/>
      <c r="B326" s="3"/>
      <c r="C326" s="3"/>
      <c r="D326" s="3"/>
      <c r="E326" s="3"/>
      <c r="F326" s="3"/>
      <c r="G326" s="3"/>
      <c r="H326" s="3"/>
      <c r="I326" s="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4.25" customHeight="1" x14ac:dyDescent="0.35">
      <c r="A327" s="3"/>
      <c r="B327" s="3"/>
      <c r="C327" s="3"/>
      <c r="D327" s="3"/>
      <c r="E327" s="3"/>
      <c r="F327" s="3"/>
      <c r="G327" s="3"/>
      <c r="H327" s="3"/>
      <c r="I327" s="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4.25" customHeight="1" x14ac:dyDescent="0.35">
      <c r="A328" s="3"/>
      <c r="B328" s="3"/>
      <c r="C328" s="3"/>
      <c r="D328" s="3"/>
      <c r="E328" s="3"/>
      <c r="F328" s="3"/>
      <c r="G328" s="3"/>
      <c r="H328" s="3"/>
      <c r="I328" s="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4.25" customHeight="1" x14ac:dyDescent="0.35">
      <c r="A329" s="3"/>
      <c r="B329" s="3"/>
      <c r="C329" s="3"/>
      <c r="D329" s="3"/>
      <c r="E329" s="3"/>
      <c r="F329" s="3"/>
      <c r="G329" s="3"/>
      <c r="H329" s="3"/>
      <c r="I329" s="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4.25" customHeight="1" x14ac:dyDescent="0.35">
      <c r="A330" s="3"/>
      <c r="B330" s="3"/>
      <c r="C330" s="3"/>
      <c r="D330" s="3"/>
      <c r="E330" s="3"/>
      <c r="F330" s="3"/>
      <c r="G330" s="3"/>
      <c r="H330" s="3"/>
      <c r="I330" s="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4.25" customHeight="1" x14ac:dyDescent="0.35">
      <c r="A331" s="3"/>
      <c r="B331" s="3"/>
      <c r="C331" s="3"/>
      <c r="D331" s="3"/>
      <c r="E331" s="3"/>
      <c r="F331" s="3"/>
      <c r="G331" s="3"/>
      <c r="H331" s="3"/>
      <c r="I331" s="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4.25" customHeight="1" x14ac:dyDescent="0.35">
      <c r="A332" s="3"/>
      <c r="B332" s="3"/>
      <c r="C332" s="3"/>
      <c r="D332" s="3"/>
      <c r="E332" s="3"/>
      <c r="F332" s="3"/>
      <c r="G332" s="3"/>
      <c r="H332" s="3"/>
      <c r="I332" s="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4.25" customHeight="1" x14ac:dyDescent="0.35">
      <c r="A333" s="3"/>
      <c r="B333" s="3"/>
      <c r="C333" s="3"/>
      <c r="D333" s="3"/>
      <c r="E333" s="3"/>
      <c r="F333" s="3"/>
      <c r="G333" s="3"/>
      <c r="H333" s="3"/>
      <c r="I333" s="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4.25" customHeight="1" x14ac:dyDescent="0.35">
      <c r="A334" s="3"/>
      <c r="B334" s="3"/>
      <c r="C334" s="3"/>
      <c r="D334" s="3"/>
      <c r="E334" s="3"/>
      <c r="F334" s="3"/>
      <c r="G334" s="3"/>
      <c r="H334" s="3"/>
      <c r="I334" s="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4.25" customHeight="1" x14ac:dyDescent="0.35">
      <c r="A335" s="3"/>
      <c r="B335" s="3"/>
      <c r="C335" s="3"/>
      <c r="D335" s="3"/>
      <c r="E335" s="3"/>
      <c r="F335" s="3"/>
      <c r="G335" s="3"/>
      <c r="H335" s="3"/>
      <c r="I335" s="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4.25" customHeight="1" x14ac:dyDescent="0.35">
      <c r="A336" s="3"/>
      <c r="B336" s="3"/>
      <c r="C336" s="3"/>
      <c r="D336" s="3"/>
      <c r="E336" s="3"/>
      <c r="F336" s="3"/>
      <c r="G336" s="3"/>
      <c r="H336" s="3"/>
      <c r="I336" s="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4.25" customHeight="1" x14ac:dyDescent="0.35">
      <c r="A337" s="3"/>
      <c r="B337" s="3"/>
      <c r="C337" s="3"/>
      <c r="D337" s="3"/>
      <c r="E337" s="3"/>
      <c r="F337" s="3"/>
      <c r="G337" s="3"/>
      <c r="H337" s="3"/>
      <c r="I337" s="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4.25" customHeight="1" x14ac:dyDescent="0.35">
      <c r="A338" s="3"/>
      <c r="B338" s="3"/>
      <c r="C338" s="3"/>
      <c r="D338" s="3"/>
      <c r="E338" s="3"/>
      <c r="F338" s="3"/>
      <c r="G338" s="3"/>
      <c r="H338" s="3"/>
      <c r="I338" s="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4.25" customHeight="1" x14ac:dyDescent="0.35">
      <c r="A339" s="3"/>
      <c r="B339" s="3"/>
      <c r="C339" s="3"/>
      <c r="D339" s="3"/>
      <c r="E339" s="3"/>
      <c r="F339" s="3"/>
      <c r="G339" s="3"/>
      <c r="H339" s="3"/>
      <c r="I339" s="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4.25" customHeight="1" x14ac:dyDescent="0.35">
      <c r="A340" s="3"/>
      <c r="B340" s="3"/>
      <c r="C340" s="3"/>
      <c r="D340" s="3"/>
      <c r="E340" s="3"/>
      <c r="F340" s="3"/>
      <c r="G340" s="3"/>
      <c r="H340" s="3"/>
      <c r="I340" s="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4.25" customHeight="1" x14ac:dyDescent="0.35">
      <c r="A341" s="3"/>
      <c r="B341" s="3"/>
      <c r="C341" s="3"/>
      <c r="D341" s="3"/>
      <c r="E341" s="3"/>
      <c r="F341" s="3"/>
      <c r="G341" s="3"/>
      <c r="H341" s="3"/>
      <c r="I341" s="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4.25" customHeight="1" x14ac:dyDescent="0.35">
      <c r="A342" s="3"/>
      <c r="B342" s="3"/>
      <c r="C342" s="3"/>
      <c r="D342" s="3"/>
      <c r="E342" s="3"/>
      <c r="F342" s="3"/>
      <c r="G342" s="3"/>
      <c r="H342" s="3"/>
      <c r="I342" s="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4.25" customHeight="1" x14ac:dyDescent="0.35">
      <c r="A343" s="3"/>
      <c r="B343" s="3"/>
      <c r="C343" s="3"/>
      <c r="D343" s="3"/>
      <c r="E343" s="3"/>
      <c r="F343" s="3"/>
      <c r="G343" s="3"/>
      <c r="H343" s="3"/>
      <c r="I343" s="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4.25" customHeight="1" x14ac:dyDescent="0.35">
      <c r="A344" s="3"/>
      <c r="B344" s="3"/>
      <c r="C344" s="3"/>
      <c r="D344" s="3"/>
      <c r="E344" s="3"/>
      <c r="F344" s="3"/>
      <c r="G344" s="3"/>
      <c r="H344" s="3"/>
      <c r="I344" s="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4.25" customHeight="1" x14ac:dyDescent="0.35">
      <c r="A345" s="3"/>
      <c r="B345" s="3"/>
      <c r="C345" s="3"/>
      <c r="D345" s="3"/>
      <c r="E345" s="3"/>
      <c r="F345" s="3"/>
      <c r="G345" s="3"/>
      <c r="H345" s="3"/>
      <c r="I345" s="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4.25" customHeight="1" x14ac:dyDescent="0.35">
      <c r="A346" s="3"/>
      <c r="B346" s="3"/>
      <c r="C346" s="3"/>
      <c r="D346" s="3"/>
      <c r="E346" s="3"/>
      <c r="F346" s="3"/>
      <c r="G346" s="3"/>
      <c r="H346" s="3"/>
      <c r="I346" s="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4.25" customHeight="1" x14ac:dyDescent="0.35">
      <c r="A347" s="3"/>
      <c r="B347" s="3"/>
      <c r="C347" s="3"/>
      <c r="D347" s="3"/>
      <c r="E347" s="3"/>
      <c r="F347" s="3"/>
      <c r="G347" s="3"/>
      <c r="H347" s="3"/>
      <c r="I347" s="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4.25" customHeight="1" x14ac:dyDescent="0.35">
      <c r="A348" s="3"/>
      <c r="B348" s="3"/>
      <c r="C348" s="3"/>
      <c r="D348" s="3"/>
      <c r="E348" s="3"/>
      <c r="F348" s="3"/>
      <c r="G348" s="3"/>
      <c r="H348" s="3"/>
      <c r="I348" s="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4.25" customHeight="1" x14ac:dyDescent="0.35">
      <c r="A349" s="3"/>
      <c r="B349" s="3"/>
      <c r="C349" s="3"/>
      <c r="D349" s="3"/>
      <c r="E349" s="3"/>
      <c r="F349" s="3"/>
      <c r="G349" s="3"/>
      <c r="H349" s="3"/>
      <c r="I349" s="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4.25" customHeight="1" x14ac:dyDescent="0.35">
      <c r="A350" s="3"/>
      <c r="B350" s="3"/>
      <c r="C350" s="3"/>
      <c r="D350" s="3"/>
      <c r="E350" s="3"/>
      <c r="F350" s="3"/>
      <c r="G350" s="3"/>
      <c r="H350" s="3"/>
      <c r="I350" s="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4.25" customHeight="1" x14ac:dyDescent="0.35">
      <c r="A351" s="3"/>
      <c r="B351" s="3"/>
      <c r="C351" s="3"/>
      <c r="D351" s="3"/>
      <c r="E351" s="3"/>
      <c r="F351" s="3"/>
      <c r="G351" s="3"/>
      <c r="H351" s="3"/>
      <c r="I351" s="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4.25" customHeight="1" x14ac:dyDescent="0.35">
      <c r="A352" s="3"/>
      <c r="B352" s="3"/>
      <c r="C352" s="3"/>
      <c r="D352" s="3"/>
      <c r="E352" s="3"/>
      <c r="F352" s="3"/>
      <c r="G352" s="3"/>
      <c r="H352" s="3"/>
      <c r="I352" s="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4.25" customHeight="1" x14ac:dyDescent="0.35">
      <c r="A353" s="3"/>
      <c r="B353" s="3"/>
      <c r="C353" s="3"/>
      <c r="D353" s="3"/>
      <c r="E353" s="3"/>
      <c r="F353" s="3"/>
      <c r="G353" s="3"/>
      <c r="H353" s="3"/>
      <c r="I353" s="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4.25" customHeight="1" x14ac:dyDescent="0.35">
      <c r="A354" s="3"/>
      <c r="B354" s="3"/>
      <c r="C354" s="3"/>
      <c r="D354" s="3"/>
      <c r="E354" s="3"/>
      <c r="F354" s="3"/>
      <c r="G354" s="3"/>
      <c r="H354" s="3"/>
      <c r="I354" s="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4.25" customHeight="1" x14ac:dyDescent="0.35">
      <c r="A355" s="3"/>
      <c r="B355" s="3"/>
      <c r="C355" s="3"/>
      <c r="D355" s="3"/>
      <c r="E355" s="3"/>
      <c r="F355" s="3"/>
      <c r="G355" s="3"/>
      <c r="H355" s="3"/>
      <c r="I355" s="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4.25" customHeight="1" x14ac:dyDescent="0.35">
      <c r="A356" s="3"/>
      <c r="B356" s="3"/>
      <c r="C356" s="3"/>
      <c r="D356" s="3"/>
      <c r="E356" s="3"/>
      <c r="F356" s="3"/>
      <c r="G356" s="3"/>
      <c r="H356" s="3"/>
      <c r="I356" s="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4.25" customHeight="1" x14ac:dyDescent="0.35">
      <c r="A357" s="3"/>
      <c r="B357" s="3"/>
      <c r="C357" s="3"/>
      <c r="D357" s="3"/>
      <c r="E357" s="3"/>
      <c r="F357" s="3"/>
      <c r="G357" s="3"/>
      <c r="H357" s="3"/>
      <c r="I357" s="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4.25" customHeight="1" x14ac:dyDescent="0.35">
      <c r="A358" s="3"/>
      <c r="B358" s="3"/>
      <c r="C358" s="3"/>
      <c r="D358" s="3"/>
      <c r="E358" s="3"/>
      <c r="F358" s="3"/>
      <c r="G358" s="3"/>
      <c r="H358" s="3"/>
      <c r="I358" s="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4.25" customHeight="1" x14ac:dyDescent="0.35">
      <c r="A359" s="3"/>
      <c r="B359" s="3"/>
      <c r="C359" s="3"/>
      <c r="D359" s="3"/>
      <c r="E359" s="3"/>
      <c r="F359" s="3"/>
      <c r="G359" s="3"/>
      <c r="H359" s="3"/>
      <c r="I359" s="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4.25" customHeight="1" x14ac:dyDescent="0.35">
      <c r="A360" s="3"/>
      <c r="B360" s="3"/>
      <c r="C360" s="3"/>
      <c r="D360" s="3"/>
      <c r="E360" s="3"/>
      <c r="F360" s="3"/>
      <c r="G360" s="3"/>
      <c r="H360" s="3"/>
      <c r="I360" s="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4.25" customHeight="1" x14ac:dyDescent="0.35">
      <c r="A361" s="3"/>
      <c r="B361" s="3"/>
      <c r="C361" s="3"/>
      <c r="D361" s="3"/>
      <c r="E361" s="3"/>
      <c r="F361" s="3"/>
      <c r="G361" s="3"/>
      <c r="H361" s="3"/>
      <c r="I361" s="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4.25" customHeight="1" x14ac:dyDescent="0.35">
      <c r="A362" s="3"/>
      <c r="B362" s="3"/>
      <c r="C362" s="3"/>
      <c r="D362" s="3"/>
      <c r="E362" s="3"/>
      <c r="F362" s="3"/>
      <c r="G362" s="3"/>
      <c r="H362" s="3"/>
      <c r="I362" s="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4.25" customHeight="1" x14ac:dyDescent="0.35">
      <c r="A363" s="3"/>
      <c r="B363" s="3"/>
      <c r="C363" s="3"/>
      <c r="D363" s="3"/>
      <c r="E363" s="3"/>
      <c r="F363" s="3"/>
      <c r="G363" s="3"/>
      <c r="H363" s="3"/>
      <c r="I363" s="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4.25" customHeight="1" x14ac:dyDescent="0.35">
      <c r="A364" s="3"/>
      <c r="B364" s="3"/>
      <c r="C364" s="3"/>
      <c r="D364" s="3"/>
      <c r="E364" s="3"/>
      <c r="F364" s="3"/>
      <c r="G364" s="3"/>
      <c r="H364" s="3"/>
      <c r="I364" s="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4.25" customHeight="1" x14ac:dyDescent="0.35">
      <c r="A365" s="3"/>
      <c r="B365" s="3"/>
      <c r="C365" s="3"/>
      <c r="D365" s="3"/>
      <c r="E365" s="3"/>
      <c r="F365" s="3"/>
      <c r="G365" s="3"/>
      <c r="H365" s="3"/>
      <c r="I365" s="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4.25" customHeight="1" x14ac:dyDescent="0.35">
      <c r="A366" s="3"/>
      <c r="B366" s="3"/>
      <c r="C366" s="3"/>
      <c r="D366" s="3"/>
      <c r="E366" s="3"/>
      <c r="F366" s="3"/>
      <c r="G366" s="3"/>
      <c r="H366" s="3"/>
      <c r="I366" s="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4.25" customHeight="1" x14ac:dyDescent="0.35">
      <c r="A367" s="3"/>
      <c r="B367" s="3"/>
      <c r="C367" s="3"/>
      <c r="D367" s="3"/>
      <c r="E367" s="3"/>
      <c r="F367" s="3"/>
      <c r="G367" s="3"/>
      <c r="H367" s="3"/>
      <c r="I367" s="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4.25" customHeight="1" x14ac:dyDescent="0.35">
      <c r="A368" s="3"/>
      <c r="B368" s="3"/>
      <c r="C368" s="3"/>
      <c r="D368" s="3"/>
      <c r="E368" s="3"/>
      <c r="F368" s="3"/>
      <c r="G368" s="3"/>
      <c r="H368" s="3"/>
      <c r="I368" s="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4.25" customHeight="1" x14ac:dyDescent="0.35">
      <c r="A369" s="3"/>
      <c r="B369" s="3"/>
      <c r="C369" s="3"/>
      <c r="D369" s="3"/>
      <c r="E369" s="3"/>
      <c r="F369" s="3"/>
      <c r="G369" s="3"/>
      <c r="H369" s="3"/>
      <c r="I369" s="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4.25" customHeight="1" x14ac:dyDescent="0.35">
      <c r="A370" s="3"/>
      <c r="B370" s="3"/>
      <c r="C370" s="3"/>
      <c r="D370" s="3"/>
      <c r="E370" s="3"/>
      <c r="F370" s="3"/>
      <c r="G370" s="3"/>
      <c r="H370" s="3"/>
      <c r="I370" s="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4.25" customHeight="1" x14ac:dyDescent="0.35">
      <c r="A371" s="3"/>
      <c r="B371" s="3"/>
      <c r="C371" s="3"/>
      <c r="D371" s="3"/>
      <c r="E371" s="3"/>
      <c r="F371" s="3"/>
      <c r="G371" s="3"/>
      <c r="H371" s="3"/>
      <c r="I371" s="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4.25" customHeight="1" x14ac:dyDescent="0.35">
      <c r="A372" s="3"/>
      <c r="B372" s="3"/>
      <c r="C372" s="3"/>
      <c r="D372" s="3"/>
      <c r="E372" s="3"/>
      <c r="F372" s="3"/>
      <c r="G372" s="3"/>
      <c r="H372" s="3"/>
      <c r="I372" s="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4.25" customHeight="1" x14ac:dyDescent="0.35">
      <c r="A373" s="3"/>
      <c r="B373" s="3"/>
      <c r="C373" s="3"/>
      <c r="D373" s="3"/>
      <c r="E373" s="3"/>
      <c r="F373" s="3"/>
      <c r="G373" s="3"/>
      <c r="H373" s="3"/>
      <c r="I373" s="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4.25" customHeight="1" x14ac:dyDescent="0.35">
      <c r="A374" s="3"/>
      <c r="B374" s="3"/>
      <c r="C374" s="3"/>
      <c r="D374" s="3"/>
      <c r="E374" s="3"/>
      <c r="F374" s="3"/>
      <c r="G374" s="3"/>
      <c r="H374" s="3"/>
      <c r="I374" s="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4.25" customHeight="1" x14ac:dyDescent="0.35">
      <c r="A375" s="3"/>
      <c r="B375" s="3"/>
      <c r="C375" s="3"/>
      <c r="D375" s="3"/>
      <c r="E375" s="3"/>
      <c r="F375" s="3"/>
      <c r="G375" s="3"/>
      <c r="H375" s="3"/>
      <c r="I375" s="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4.25" customHeight="1" x14ac:dyDescent="0.35">
      <c r="A376" s="3"/>
      <c r="B376" s="3"/>
      <c r="C376" s="3"/>
      <c r="D376" s="3"/>
      <c r="E376" s="3"/>
      <c r="F376" s="3"/>
      <c r="G376" s="3"/>
      <c r="H376" s="3"/>
      <c r="I376" s="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4.25" customHeight="1" x14ac:dyDescent="0.35">
      <c r="A377" s="3"/>
      <c r="B377" s="3"/>
      <c r="C377" s="3"/>
      <c r="D377" s="3"/>
      <c r="E377" s="3"/>
      <c r="F377" s="3"/>
      <c r="G377" s="3"/>
      <c r="H377" s="3"/>
      <c r="I377" s="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4.25" customHeight="1" x14ac:dyDescent="0.35">
      <c r="A378" s="3"/>
      <c r="B378" s="3"/>
      <c r="C378" s="3"/>
      <c r="D378" s="3"/>
      <c r="E378" s="3"/>
      <c r="F378" s="3"/>
      <c r="G378" s="3"/>
      <c r="H378" s="3"/>
      <c r="I378" s="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4.25" customHeight="1" x14ac:dyDescent="0.35">
      <c r="A379" s="3"/>
      <c r="B379" s="3"/>
      <c r="C379" s="3"/>
      <c r="D379" s="3"/>
      <c r="E379" s="3"/>
      <c r="F379" s="3"/>
      <c r="G379" s="3"/>
      <c r="H379" s="3"/>
      <c r="I379" s="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4.25" customHeight="1" x14ac:dyDescent="0.35">
      <c r="A380" s="3"/>
      <c r="B380" s="3"/>
      <c r="C380" s="3"/>
      <c r="D380" s="3"/>
      <c r="E380" s="3"/>
      <c r="F380" s="3"/>
      <c r="G380" s="3"/>
      <c r="H380" s="3"/>
      <c r="I380" s="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4.25" customHeight="1" x14ac:dyDescent="0.35">
      <c r="A381" s="3"/>
      <c r="B381" s="3"/>
      <c r="C381" s="3"/>
      <c r="D381" s="3"/>
      <c r="E381" s="3"/>
      <c r="F381" s="3"/>
      <c r="G381" s="3"/>
      <c r="H381" s="3"/>
      <c r="I381" s="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4.25" customHeight="1" x14ac:dyDescent="0.35">
      <c r="A382" s="3"/>
      <c r="B382" s="3"/>
      <c r="C382" s="3"/>
      <c r="D382" s="3"/>
      <c r="E382" s="3"/>
      <c r="F382" s="3"/>
      <c r="G382" s="3"/>
      <c r="H382" s="3"/>
      <c r="I382" s="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4.25" customHeight="1" x14ac:dyDescent="0.35">
      <c r="A383" s="3"/>
      <c r="B383" s="3"/>
      <c r="C383" s="3"/>
      <c r="D383" s="3"/>
      <c r="E383" s="3"/>
      <c r="F383" s="3"/>
      <c r="G383" s="3"/>
      <c r="H383" s="3"/>
      <c r="I383" s="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4.25" customHeight="1" x14ac:dyDescent="0.35">
      <c r="A384" s="3"/>
      <c r="B384" s="3"/>
      <c r="C384" s="3"/>
      <c r="D384" s="3"/>
      <c r="E384" s="3"/>
      <c r="F384" s="3"/>
      <c r="G384" s="3"/>
      <c r="H384" s="3"/>
      <c r="I384" s="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spans="1:36" ht="14.25" customHeight="1" x14ac:dyDescent="0.35">
      <c r="A385" s="3"/>
      <c r="B385" s="3"/>
      <c r="C385" s="3"/>
      <c r="D385" s="3"/>
      <c r="E385" s="3"/>
      <c r="F385" s="3"/>
      <c r="G385" s="3"/>
      <c r="H385" s="3"/>
      <c r="I385" s="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</row>
    <row r="386" spans="1:36" ht="14.25" customHeight="1" x14ac:dyDescent="0.35">
      <c r="A386" s="3"/>
      <c r="B386" s="3"/>
      <c r="C386" s="3"/>
      <c r="D386" s="3"/>
      <c r="E386" s="3"/>
      <c r="F386" s="3"/>
      <c r="G386" s="3"/>
      <c r="H386" s="3"/>
      <c r="I386" s="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</row>
    <row r="387" spans="1:36" ht="14.25" customHeight="1" x14ac:dyDescent="0.35">
      <c r="A387" s="3"/>
      <c r="B387" s="3"/>
      <c r="C387" s="3"/>
      <c r="D387" s="3"/>
      <c r="E387" s="3"/>
      <c r="F387" s="3"/>
      <c r="G387" s="3"/>
      <c r="H387" s="3"/>
      <c r="I387" s="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</row>
    <row r="388" spans="1:36" ht="14.25" customHeight="1" x14ac:dyDescent="0.35">
      <c r="A388" s="3"/>
      <c r="B388" s="3"/>
      <c r="C388" s="3"/>
      <c r="D388" s="3"/>
      <c r="E388" s="3"/>
      <c r="F388" s="3"/>
      <c r="G388" s="3"/>
      <c r="H388" s="3"/>
      <c r="I388" s="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</row>
    <row r="389" spans="1:36" ht="14.25" customHeight="1" x14ac:dyDescent="0.35">
      <c r="A389" s="3"/>
      <c r="B389" s="3"/>
      <c r="C389" s="3"/>
      <c r="D389" s="3"/>
      <c r="E389" s="3"/>
      <c r="F389" s="3"/>
      <c r="G389" s="3"/>
      <c r="H389" s="3"/>
      <c r="I389" s="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</row>
    <row r="390" spans="1:36" ht="14.25" customHeight="1" x14ac:dyDescent="0.35">
      <c r="A390" s="3"/>
      <c r="B390" s="3"/>
      <c r="C390" s="3"/>
      <c r="D390" s="3"/>
      <c r="E390" s="3"/>
      <c r="F390" s="3"/>
      <c r="G390" s="3"/>
      <c r="H390" s="3"/>
      <c r="I390" s="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</row>
    <row r="391" spans="1:36" ht="14.25" customHeight="1" x14ac:dyDescent="0.35">
      <c r="A391" s="3"/>
      <c r="B391" s="3"/>
      <c r="C391" s="3"/>
      <c r="D391" s="3"/>
      <c r="E391" s="3"/>
      <c r="F391" s="3"/>
      <c r="G391" s="3"/>
      <c r="H391" s="3"/>
      <c r="I391" s="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</row>
    <row r="392" spans="1:36" ht="14.25" customHeight="1" x14ac:dyDescent="0.35">
      <c r="A392" s="3"/>
      <c r="B392" s="3"/>
      <c r="C392" s="3"/>
      <c r="D392" s="3"/>
      <c r="E392" s="3"/>
      <c r="F392" s="3"/>
      <c r="G392" s="3"/>
      <c r="H392" s="3"/>
      <c r="I392" s="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</row>
    <row r="393" spans="1:36" ht="14.25" customHeight="1" x14ac:dyDescent="0.35">
      <c r="A393" s="3"/>
      <c r="B393" s="3"/>
      <c r="C393" s="3"/>
      <c r="D393" s="3"/>
      <c r="E393" s="3"/>
      <c r="F393" s="3"/>
      <c r="G393" s="3"/>
      <c r="H393" s="3"/>
      <c r="I393" s="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</row>
    <row r="394" spans="1:36" ht="14.25" customHeight="1" x14ac:dyDescent="0.35">
      <c r="A394" s="3"/>
      <c r="B394" s="3"/>
      <c r="C394" s="3"/>
      <c r="D394" s="3"/>
      <c r="E394" s="3"/>
      <c r="F394" s="3"/>
      <c r="G394" s="3"/>
      <c r="H394" s="3"/>
      <c r="I394" s="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</row>
    <row r="395" spans="1:36" ht="14.25" customHeight="1" x14ac:dyDescent="0.35">
      <c r="A395" s="3"/>
      <c r="B395" s="3"/>
      <c r="C395" s="3"/>
      <c r="D395" s="3"/>
      <c r="E395" s="3"/>
      <c r="F395" s="3"/>
      <c r="G395" s="3"/>
      <c r="H395" s="3"/>
      <c r="I395" s="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</row>
    <row r="396" spans="1:36" ht="14.25" customHeight="1" x14ac:dyDescent="0.35">
      <c r="A396" s="3"/>
      <c r="B396" s="3"/>
      <c r="C396" s="3"/>
      <c r="D396" s="3"/>
      <c r="E396" s="3"/>
      <c r="F396" s="3"/>
      <c r="G396" s="3"/>
      <c r="H396" s="3"/>
      <c r="I396" s="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</row>
    <row r="397" spans="1:36" ht="14.25" customHeight="1" x14ac:dyDescent="0.35">
      <c r="A397" s="3"/>
      <c r="B397" s="3"/>
      <c r="C397" s="3"/>
      <c r="D397" s="3"/>
      <c r="E397" s="3"/>
      <c r="F397" s="3"/>
      <c r="G397" s="3"/>
      <c r="H397" s="3"/>
      <c r="I397" s="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</row>
    <row r="398" spans="1:36" ht="14.25" customHeight="1" x14ac:dyDescent="0.35">
      <c r="A398" s="3"/>
      <c r="B398" s="3"/>
      <c r="C398" s="3"/>
      <c r="D398" s="3"/>
      <c r="E398" s="3"/>
      <c r="F398" s="3"/>
      <c r="G398" s="3"/>
      <c r="H398" s="3"/>
      <c r="I398" s="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</row>
    <row r="399" spans="1:36" ht="14.25" customHeight="1" x14ac:dyDescent="0.35">
      <c r="A399" s="3"/>
      <c r="B399" s="3"/>
      <c r="C399" s="3"/>
      <c r="D399" s="3"/>
      <c r="E399" s="3"/>
      <c r="F399" s="3"/>
      <c r="G399" s="3"/>
      <c r="H399" s="3"/>
      <c r="I399" s="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</row>
    <row r="400" spans="1:36" ht="14.25" customHeight="1" x14ac:dyDescent="0.35">
      <c r="A400" s="3"/>
      <c r="B400" s="3"/>
      <c r="C400" s="3"/>
      <c r="D400" s="3"/>
      <c r="E400" s="3"/>
      <c r="F400" s="3"/>
      <c r="G400" s="3"/>
      <c r="H400" s="3"/>
      <c r="I400" s="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</row>
    <row r="401" spans="1:36" ht="14.25" customHeight="1" x14ac:dyDescent="0.35">
      <c r="A401" s="3"/>
      <c r="B401" s="3"/>
      <c r="C401" s="3"/>
      <c r="D401" s="3"/>
      <c r="E401" s="3"/>
      <c r="F401" s="3"/>
      <c r="G401" s="3"/>
      <c r="H401" s="3"/>
      <c r="I401" s="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</row>
    <row r="402" spans="1:36" ht="14.25" customHeight="1" x14ac:dyDescent="0.35">
      <c r="A402" s="3"/>
      <c r="B402" s="3"/>
      <c r="C402" s="3"/>
      <c r="D402" s="3"/>
      <c r="E402" s="3"/>
      <c r="F402" s="3"/>
      <c r="G402" s="3"/>
      <c r="H402" s="3"/>
      <c r="I402" s="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</row>
    <row r="403" spans="1:36" ht="14.25" customHeight="1" x14ac:dyDescent="0.35">
      <c r="A403" s="3"/>
      <c r="B403" s="3"/>
      <c r="C403" s="3"/>
      <c r="D403" s="3"/>
      <c r="E403" s="3"/>
      <c r="F403" s="3"/>
      <c r="G403" s="3"/>
      <c r="H403" s="3"/>
      <c r="I403" s="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</row>
    <row r="404" spans="1:36" ht="14.25" customHeight="1" x14ac:dyDescent="0.35">
      <c r="A404" s="3"/>
      <c r="B404" s="3"/>
      <c r="C404" s="3"/>
      <c r="D404" s="3"/>
      <c r="E404" s="3"/>
      <c r="F404" s="3"/>
      <c r="G404" s="3"/>
      <c r="H404" s="3"/>
      <c r="I404" s="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</row>
    <row r="405" spans="1:36" ht="14.25" customHeight="1" x14ac:dyDescent="0.35">
      <c r="A405" s="3"/>
      <c r="B405" s="3"/>
      <c r="C405" s="3"/>
      <c r="D405" s="3"/>
      <c r="E405" s="3"/>
      <c r="F405" s="3"/>
      <c r="G405" s="3"/>
      <c r="H405" s="3"/>
      <c r="I405" s="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</row>
    <row r="406" spans="1:36" ht="14.25" customHeight="1" x14ac:dyDescent="0.35">
      <c r="A406" s="3"/>
      <c r="B406" s="3"/>
      <c r="C406" s="3"/>
      <c r="D406" s="3"/>
      <c r="E406" s="3"/>
      <c r="F406" s="3"/>
      <c r="G406" s="3"/>
      <c r="H406" s="3"/>
      <c r="I406" s="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</row>
    <row r="407" spans="1:36" ht="14.25" customHeight="1" x14ac:dyDescent="0.35">
      <c r="A407" s="3"/>
      <c r="B407" s="3"/>
      <c r="C407" s="3"/>
      <c r="D407" s="3"/>
      <c r="E407" s="3"/>
      <c r="F407" s="3"/>
      <c r="G407" s="3"/>
      <c r="H407" s="3"/>
      <c r="I407" s="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</row>
    <row r="408" spans="1:36" ht="14.25" customHeight="1" x14ac:dyDescent="0.35">
      <c r="A408" s="3"/>
      <c r="B408" s="3"/>
      <c r="C408" s="3"/>
      <c r="D408" s="3"/>
      <c r="E408" s="3"/>
      <c r="F408" s="3"/>
      <c r="G408" s="3"/>
      <c r="H408" s="3"/>
      <c r="I408" s="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</row>
    <row r="409" spans="1:36" ht="14.25" customHeight="1" x14ac:dyDescent="0.35">
      <c r="A409" s="3"/>
      <c r="B409" s="3"/>
      <c r="C409" s="3"/>
      <c r="D409" s="3"/>
      <c r="E409" s="3"/>
      <c r="F409" s="3"/>
      <c r="G409" s="3"/>
      <c r="H409" s="3"/>
      <c r="I409" s="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</row>
    <row r="410" spans="1:36" ht="14.25" customHeight="1" x14ac:dyDescent="0.35">
      <c r="A410" s="3"/>
      <c r="B410" s="3"/>
      <c r="C410" s="3"/>
      <c r="D410" s="3"/>
      <c r="E410" s="3"/>
      <c r="F410" s="3"/>
      <c r="G410" s="3"/>
      <c r="H410" s="3"/>
      <c r="I410" s="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</row>
    <row r="411" spans="1:36" ht="14.25" customHeight="1" x14ac:dyDescent="0.35">
      <c r="A411" s="3"/>
      <c r="B411" s="3"/>
      <c r="C411" s="3"/>
      <c r="D411" s="3"/>
      <c r="E411" s="3"/>
      <c r="F411" s="3"/>
      <c r="G411" s="3"/>
      <c r="H411" s="3"/>
      <c r="I411" s="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</row>
    <row r="412" spans="1:36" ht="14.25" customHeight="1" x14ac:dyDescent="0.35">
      <c r="A412" s="3"/>
      <c r="B412" s="3"/>
      <c r="C412" s="3"/>
      <c r="D412" s="3"/>
      <c r="E412" s="3"/>
      <c r="F412" s="3"/>
      <c r="G412" s="3"/>
      <c r="H412" s="3"/>
      <c r="I412" s="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</row>
    <row r="413" spans="1:36" ht="14.25" customHeight="1" x14ac:dyDescent="0.35">
      <c r="A413" s="3"/>
      <c r="B413" s="3"/>
      <c r="C413" s="3"/>
      <c r="D413" s="3"/>
      <c r="E413" s="3"/>
      <c r="F413" s="3"/>
      <c r="G413" s="3"/>
      <c r="H413" s="3"/>
      <c r="I413" s="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</row>
    <row r="414" spans="1:36" ht="14.25" customHeight="1" x14ac:dyDescent="0.35">
      <c r="A414" s="3"/>
      <c r="B414" s="3"/>
      <c r="C414" s="3"/>
      <c r="D414" s="3"/>
      <c r="E414" s="3"/>
      <c r="F414" s="3"/>
      <c r="G414" s="3"/>
      <c r="H414" s="3"/>
      <c r="I414" s="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</row>
    <row r="415" spans="1:36" ht="14.25" customHeight="1" x14ac:dyDescent="0.35">
      <c r="A415" s="3"/>
      <c r="B415" s="3"/>
      <c r="C415" s="3"/>
      <c r="D415" s="3"/>
      <c r="E415" s="3"/>
      <c r="F415" s="3"/>
      <c r="G415" s="3"/>
      <c r="H415" s="3"/>
      <c r="I415" s="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</row>
    <row r="416" spans="1:36" ht="14.25" customHeight="1" x14ac:dyDescent="0.35">
      <c r="A416" s="3"/>
      <c r="B416" s="3"/>
      <c r="C416" s="3"/>
      <c r="D416" s="3"/>
      <c r="E416" s="3"/>
      <c r="F416" s="3"/>
      <c r="G416" s="3"/>
      <c r="H416" s="3"/>
      <c r="I416" s="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</row>
    <row r="417" spans="1:36" ht="14.25" customHeight="1" x14ac:dyDescent="0.35">
      <c r="A417" s="3"/>
      <c r="B417" s="3"/>
      <c r="C417" s="3"/>
      <c r="D417" s="3"/>
      <c r="E417" s="3"/>
      <c r="F417" s="3"/>
      <c r="G417" s="3"/>
      <c r="H417" s="3"/>
      <c r="I417" s="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</row>
    <row r="418" spans="1:36" ht="14.25" customHeight="1" x14ac:dyDescent="0.35">
      <c r="A418" s="3"/>
      <c r="B418" s="3"/>
      <c r="C418" s="3"/>
      <c r="D418" s="3"/>
      <c r="E418" s="3"/>
      <c r="F418" s="3"/>
      <c r="G418" s="3"/>
      <c r="H418" s="3"/>
      <c r="I418" s="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</row>
    <row r="419" spans="1:36" ht="14.25" customHeight="1" x14ac:dyDescent="0.35">
      <c r="A419" s="3"/>
      <c r="B419" s="3"/>
      <c r="C419" s="3"/>
      <c r="D419" s="3"/>
      <c r="E419" s="3"/>
      <c r="F419" s="3"/>
      <c r="G419" s="3"/>
      <c r="H419" s="3"/>
      <c r="I419" s="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</row>
    <row r="420" spans="1:36" ht="14.25" customHeight="1" x14ac:dyDescent="0.35">
      <c r="A420" s="3"/>
      <c r="B420" s="3"/>
      <c r="C420" s="3"/>
      <c r="D420" s="3"/>
      <c r="E420" s="3"/>
      <c r="F420" s="3"/>
      <c r="G420" s="3"/>
      <c r="H420" s="3"/>
      <c r="I420" s="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</row>
    <row r="421" spans="1:36" ht="14.25" customHeight="1" x14ac:dyDescent="0.35">
      <c r="A421" s="3"/>
      <c r="B421" s="3"/>
      <c r="C421" s="3"/>
      <c r="D421" s="3"/>
      <c r="E421" s="3"/>
      <c r="F421" s="3"/>
      <c r="G421" s="3"/>
      <c r="H421" s="3"/>
      <c r="I421" s="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</row>
    <row r="422" spans="1:36" ht="14.25" customHeight="1" x14ac:dyDescent="0.35">
      <c r="A422" s="3"/>
      <c r="B422" s="3"/>
      <c r="C422" s="3"/>
      <c r="D422" s="3"/>
      <c r="E422" s="3"/>
      <c r="F422" s="3"/>
      <c r="G422" s="3"/>
      <c r="H422" s="3"/>
      <c r="I422" s="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</row>
    <row r="423" spans="1:36" ht="14.25" customHeight="1" x14ac:dyDescent="0.35">
      <c r="A423" s="3"/>
      <c r="B423" s="3"/>
      <c r="C423" s="3"/>
      <c r="D423" s="3"/>
      <c r="E423" s="3"/>
      <c r="F423" s="3"/>
      <c r="G423" s="3"/>
      <c r="H423" s="3"/>
      <c r="I423" s="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</row>
    <row r="424" spans="1:36" ht="14.25" customHeight="1" x14ac:dyDescent="0.35">
      <c r="A424" s="3"/>
      <c r="B424" s="3"/>
      <c r="C424" s="3"/>
      <c r="D424" s="3"/>
      <c r="E424" s="3"/>
      <c r="F424" s="3"/>
      <c r="G424" s="3"/>
      <c r="H424" s="3"/>
      <c r="I424" s="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</row>
    <row r="425" spans="1:36" ht="14.25" customHeight="1" x14ac:dyDescent="0.35">
      <c r="A425" s="3"/>
      <c r="B425" s="3"/>
      <c r="C425" s="3"/>
      <c r="D425" s="3"/>
      <c r="E425" s="3"/>
      <c r="F425" s="3"/>
      <c r="G425" s="3"/>
      <c r="H425" s="3"/>
      <c r="I425" s="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</row>
    <row r="426" spans="1:36" ht="14.25" customHeight="1" x14ac:dyDescent="0.35">
      <c r="A426" s="3"/>
      <c r="B426" s="3"/>
      <c r="C426" s="3"/>
      <c r="D426" s="3"/>
      <c r="E426" s="3"/>
      <c r="F426" s="3"/>
      <c r="G426" s="3"/>
      <c r="H426" s="3"/>
      <c r="I426" s="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</row>
    <row r="427" spans="1:36" ht="14.25" customHeight="1" x14ac:dyDescent="0.35">
      <c r="A427" s="3"/>
      <c r="B427" s="3"/>
      <c r="C427" s="3"/>
      <c r="D427" s="3"/>
      <c r="E427" s="3"/>
      <c r="F427" s="3"/>
      <c r="G427" s="3"/>
      <c r="H427" s="3"/>
      <c r="I427" s="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</row>
    <row r="428" spans="1:36" ht="14.25" customHeight="1" x14ac:dyDescent="0.35">
      <c r="A428" s="3"/>
      <c r="B428" s="3"/>
      <c r="C428" s="3"/>
      <c r="D428" s="3"/>
      <c r="E428" s="3"/>
      <c r="F428" s="3"/>
      <c r="G428" s="3"/>
      <c r="H428" s="3"/>
      <c r="I428" s="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</row>
    <row r="429" spans="1:36" ht="14.25" customHeight="1" x14ac:dyDescent="0.35">
      <c r="A429" s="3"/>
      <c r="B429" s="3"/>
      <c r="C429" s="3"/>
      <c r="D429" s="3"/>
      <c r="E429" s="3"/>
      <c r="F429" s="3"/>
      <c r="G429" s="3"/>
      <c r="H429" s="3"/>
      <c r="I429" s="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</row>
    <row r="430" spans="1:36" ht="14.25" customHeight="1" x14ac:dyDescent="0.35">
      <c r="A430" s="3"/>
      <c r="B430" s="3"/>
      <c r="C430" s="3"/>
      <c r="D430" s="3"/>
      <c r="E430" s="3"/>
      <c r="F430" s="3"/>
      <c r="G430" s="3"/>
      <c r="H430" s="3"/>
      <c r="I430" s="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</row>
    <row r="431" spans="1:36" ht="14.25" customHeight="1" x14ac:dyDescent="0.35">
      <c r="A431" s="3"/>
      <c r="B431" s="3"/>
      <c r="C431" s="3"/>
      <c r="D431" s="3"/>
      <c r="E431" s="3"/>
      <c r="F431" s="3"/>
      <c r="G431" s="3"/>
      <c r="H431" s="3"/>
      <c r="I431" s="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</row>
    <row r="432" spans="1:36" ht="14.25" customHeight="1" x14ac:dyDescent="0.35">
      <c r="A432" s="3"/>
      <c r="B432" s="3"/>
      <c r="C432" s="3"/>
      <c r="D432" s="3"/>
      <c r="E432" s="3"/>
      <c r="F432" s="3"/>
      <c r="G432" s="3"/>
      <c r="H432" s="3"/>
      <c r="I432" s="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</row>
    <row r="433" spans="1:36" ht="14.25" customHeight="1" x14ac:dyDescent="0.35">
      <c r="A433" s="3"/>
      <c r="B433" s="3"/>
      <c r="C433" s="3"/>
      <c r="D433" s="3"/>
      <c r="E433" s="3"/>
      <c r="F433" s="3"/>
      <c r="G433" s="3"/>
      <c r="H433" s="3"/>
      <c r="I433" s="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</row>
    <row r="434" spans="1:36" ht="14.25" customHeight="1" x14ac:dyDescent="0.35">
      <c r="A434" s="3"/>
      <c r="B434" s="3"/>
      <c r="C434" s="3"/>
      <c r="D434" s="3"/>
      <c r="E434" s="3"/>
      <c r="F434" s="3"/>
      <c r="G434" s="3"/>
      <c r="H434" s="3"/>
      <c r="I434" s="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</row>
    <row r="435" spans="1:36" ht="14.25" customHeight="1" x14ac:dyDescent="0.35">
      <c r="A435" s="3"/>
      <c r="B435" s="3"/>
      <c r="C435" s="3"/>
      <c r="D435" s="3"/>
      <c r="E435" s="3"/>
      <c r="F435" s="3"/>
      <c r="G435" s="3"/>
      <c r="H435" s="3"/>
      <c r="I435" s="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</row>
    <row r="436" spans="1:36" ht="14.25" customHeight="1" x14ac:dyDescent="0.35">
      <c r="A436" s="3"/>
      <c r="B436" s="3"/>
      <c r="C436" s="3"/>
      <c r="D436" s="3"/>
      <c r="E436" s="3"/>
      <c r="F436" s="3"/>
      <c r="G436" s="3"/>
      <c r="H436" s="3"/>
      <c r="I436" s="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</row>
    <row r="437" spans="1:36" ht="14.25" customHeight="1" x14ac:dyDescent="0.35">
      <c r="A437" s="3"/>
      <c r="B437" s="3"/>
      <c r="C437" s="3"/>
      <c r="D437" s="3"/>
      <c r="E437" s="3"/>
      <c r="F437" s="3"/>
      <c r="G437" s="3"/>
      <c r="H437" s="3"/>
      <c r="I437" s="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</row>
    <row r="438" spans="1:36" ht="14.25" customHeight="1" x14ac:dyDescent="0.35">
      <c r="A438" s="3"/>
      <c r="B438" s="3"/>
      <c r="C438" s="3"/>
      <c r="D438" s="3"/>
      <c r="E438" s="3"/>
      <c r="F438" s="3"/>
      <c r="G438" s="3"/>
      <c r="H438" s="3"/>
      <c r="I438" s="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</row>
    <row r="439" spans="1:36" ht="14.25" customHeight="1" x14ac:dyDescent="0.35">
      <c r="A439" s="3"/>
      <c r="B439" s="3"/>
      <c r="C439" s="3"/>
      <c r="D439" s="3"/>
      <c r="E439" s="3"/>
      <c r="F439" s="3"/>
      <c r="G439" s="3"/>
      <c r="H439" s="3"/>
      <c r="I439" s="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</row>
    <row r="440" spans="1:36" ht="14.25" customHeight="1" x14ac:dyDescent="0.35">
      <c r="A440" s="3"/>
      <c r="B440" s="3"/>
      <c r="C440" s="3"/>
      <c r="D440" s="3"/>
      <c r="E440" s="3"/>
      <c r="F440" s="3"/>
      <c r="G440" s="3"/>
      <c r="H440" s="3"/>
      <c r="I440" s="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</row>
    <row r="441" spans="1:36" ht="14.25" customHeight="1" x14ac:dyDescent="0.35">
      <c r="A441" s="3"/>
      <c r="B441" s="3"/>
      <c r="C441" s="3"/>
      <c r="D441" s="3"/>
      <c r="E441" s="3"/>
      <c r="F441" s="3"/>
      <c r="G441" s="3"/>
      <c r="H441" s="3"/>
      <c r="I441" s="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</row>
    <row r="442" spans="1:36" ht="14.25" customHeight="1" x14ac:dyDescent="0.35">
      <c r="A442" s="3"/>
      <c r="B442" s="3"/>
      <c r="C442" s="3"/>
      <c r="D442" s="3"/>
      <c r="E442" s="3"/>
      <c r="F442" s="3"/>
      <c r="G442" s="3"/>
      <c r="H442" s="3"/>
      <c r="I442" s="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</row>
    <row r="443" spans="1:36" ht="14.25" customHeight="1" x14ac:dyDescent="0.35">
      <c r="A443" s="3"/>
      <c r="B443" s="3"/>
      <c r="C443" s="3"/>
      <c r="D443" s="3"/>
      <c r="E443" s="3"/>
      <c r="F443" s="3"/>
      <c r="G443" s="3"/>
      <c r="H443" s="3"/>
      <c r="I443" s="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</row>
    <row r="444" spans="1:36" ht="14.25" customHeight="1" x14ac:dyDescent="0.35">
      <c r="A444" s="3"/>
      <c r="B444" s="3"/>
      <c r="C444" s="3"/>
      <c r="D444" s="3"/>
      <c r="E444" s="3"/>
      <c r="F444" s="3"/>
      <c r="G444" s="3"/>
      <c r="H444" s="3"/>
      <c r="I444" s="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</row>
    <row r="445" spans="1:36" ht="14.25" customHeight="1" x14ac:dyDescent="0.35">
      <c r="A445" s="3"/>
      <c r="B445" s="3"/>
      <c r="C445" s="3"/>
      <c r="D445" s="3"/>
      <c r="E445" s="3"/>
      <c r="F445" s="3"/>
      <c r="G445" s="3"/>
      <c r="H445" s="3"/>
      <c r="I445" s="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</row>
    <row r="446" spans="1:36" ht="14.25" customHeight="1" x14ac:dyDescent="0.35">
      <c r="A446" s="3"/>
      <c r="B446" s="3"/>
      <c r="C446" s="3"/>
      <c r="D446" s="3"/>
      <c r="E446" s="3"/>
      <c r="F446" s="3"/>
      <c r="G446" s="3"/>
      <c r="H446" s="3"/>
      <c r="I446" s="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</row>
    <row r="447" spans="1:36" ht="14.25" customHeight="1" x14ac:dyDescent="0.35">
      <c r="A447" s="3"/>
      <c r="B447" s="3"/>
      <c r="C447" s="3"/>
      <c r="D447" s="3"/>
      <c r="E447" s="3"/>
      <c r="F447" s="3"/>
      <c r="G447" s="3"/>
      <c r="H447" s="3"/>
      <c r="I447" s="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</row>
    <row r="448" spans="1:36" ht="14.25" customHeight="1" x14ac:dyDescent="0.35">
      <c r="A448" s="3"/>
      <c r="B448" s="3"/>
      <c r="C448" s="3"/>
      <c r="D448" s="3"/>
      <c r="E448" s="3"/>
      <c r="F448" s="3"/>
      <c r="G448" s="3"/>
      <c r="H448" s="3"/>
      <c r="I448" s="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</row>
    <row r="449" spans="1:36" ht="14.25" customHeight="1" x14ac:dyDescent="0.35">
      <c r="A449" s="3"/>
      <c r="B449" s="3"/>
      <c r="C449" s="3"/>
      <c r="D449" s="3"/>
      <c r="E449" s="3"/>
      <c r="F449" s="3"/>
      <c r="G449" s="3"/>
      <c r="H449" s="3"/>
      <c r="I449" s="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</row>
    <row r="450" spans="1:36" ht="14.25" customHeight="1" x14ac:dyDescent="0.35">
      <c r="A450" s="3"/>
      <c r="B450" s="3"/>
      <c r="C450" s="3"/>
      <c r="D450" s="3"/>
      <c r="E450" s="3"/>
      <c r="F450" s="3"/>
      <c r="G450" s="3"/>
      <c r="H450" s="3"/>
      <c r="I450" s="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</row>
    <row r="451" spans="1:36" ht="14.25" customHeight="1" x14ac:dyDescent="0.35">
      <c r="A451" s="3"/>
      <c r="B451" s="3"/>
      <c r="C451" s="3"/>
      <c r="D451" s="3"/>
      <c r="E451" s="3"/>
      <c r="F451" s="3"/>
      <c r="G451" s="3"/>
      <c r="H451" s="3"/>
      <c r="I451" s="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</row>
    <row r="452" spans="1:36" ht="14.25" customHeight="1" x14ac:dyDescent="0.35">
      <c r="A452" s="3"/>
      <c r="B452" s="3"/>
      <c r="C452" s="3"/>
      <c r="D452" s="3"/>
      <c r="E452" s="3"/>
      <c r="F452" s="3"/>
      <c r="G452" s="3"/>
      <c r="H452" s="3"/>
      <c r="I452" s="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</row>
    <row r="453" spans="1:36" ht="14.25" customHeight="1" x14ac:dyDescent="0.35">
      <c r="A453" s="3"/>
      <c r="B453" s="3"/>
      <c r="C453" s="3"/>
      <c r="D453" s="3"/>
      <c r="E453" s="3"/>
      <c r="F453" s="3"/>
      <c r="G453" s="3"/>
      <c r="H453" s="3"/>
      <c r="I453" s="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</row>
    <row r="454" spans="1:36" ht="14.25" customHeight="1" x14ac:dyDescent="0.35">
      <c r="A454" s="3"/>
      <c r="B454" s="3"/>
      <c r="C454" s="3"/>
      <c r="D454" s="3"/>
      <c r="E454" s="3"/>
      <c r="F454" s="3"/>
      <c r="G454" s="3"/>
      <c r="H454" s="3"/>
      <c r="I454" s="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</row>
    <row r="455" spans="1:36" ht="14.25" customHeight="1" x14ac:dyDescent="0.35">
      <c r="A455" s="3"/>
      <c r="B455" s="3"/>
      <c r="C455" s="3"/>
      <c r="D455" s="3"/>
      <c r="E455" s="3"/>
      <c r="F455" s="3"/>
      <c r="G455" s="3"/>
      <c r="H455" s="3"/>
      <c r="I455" s="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</row>
    <row r="456" spans="1:36" ht="14.25" customHeight="1" x14ac:dyDescent="0.35">
      <c r="A456" s="3"/>
      <c r="B456" s="3"/>
      <c r="C456" s="3"/>
      <c r="D456" s="3"/>
      <c r="E456" s="3"/>
      <c r="F456" s="3"/>
      <c r="G456" s="3"/>
      <c r="H456" s="3"/>
      <c r="I456" s="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</row>
    <row r="457" spans="1:36" ht="14.25" customHeight="1" x14ac:dyDescent="0.35">
      <c r="A457" s="3"/>
      <c r="B457" s="3"/>
      <c r="C457" s="3"/>
      <c r="D457" s="3"/>
      <c r="E457" s="3"/>
      <c r="F457" s="3"/>
      <c r="G457" s="3"/>
      <c r="H457" s="3"/>
      <c r="I457" s="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</row>
    <row r="458" spans="1:36" ht="14.25" customHeight="1" x14ac:dyDescent="0.35">
      <c r="A458" s="3"/>
      <c r="B458" s="3"/>
      <c r="C458" s="3"/>
      <c r="D458" s="3"/>
      <c r="E458" s="3"/>
      <c r="F458" s="3"/>
      <c r="G458" s="3"/>
      <c r="H458" s="3"/>
      <c r="I458" s="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</row>
    <row r="459" spans="1:36" ht="14.25" customHeight="1" x14ac:dyDescent="0.35">
      <c r="A459" s="3"/>
      <c r="B459" s="3"/>
      <c r="C459" s="3"/>
      <c r="D459" s="3"/>
      <c r="E459" s="3"/>
      <c r="F459" s="3"/>
      <c r="G459" s="3"/>
      <c r="H459" s="3"/>
      <c r="I459" s="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</row>
    <row r="460" spans="1:36" ht="14.25" customHeight="1" x14ac:dyDescent="0.35">
      <c r="A460" s="3"/>
      <c r="B460" s="3"/>
      <c r="C460" s="3"/>
      <c r="D460" s="3"/>
      <c r="E460" s="3"/>
      <c r="F460" s="3"/>
      <c r="G460" s="3"/>
      <c r="H460" s="3"/>
      <c r="I460" s="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</row>
    <row r="461" spans="1:36" ht="14.25" customHeight="1" x14ac:dyDescent="0.35">
      <c r="A461" s="3"/>
      <c r="B461" s="3"/>
      <c r="C461" s="3"/>
      <c r="D461" s="3"/>
      <c r="E461" s="3"/>
      <c r="F461" s="3"/>
      <c r="G461" s="3"/>
      <c r="H461" s="3"/>
      <c r="I461" s="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</row>
    <row r="462" spans="1:36" ht="14.25" customHeight="1" x14ac:dyDescent="0.35">
      <c r="A462" s="3"/>
      <c r="B462" s="3"/>
      <c r="C462" s="3"/>
      <c r="D462" s="3"/>
      <c r="E462" s="3"/>
      <c r="F462" s="3"/>
      <c r="G462" s="3"/>
      <c r="H462" s="3"/>
      <c r="I462" s="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</row>
    <row r="463" spans="1:36" ht="14.25" customHeight="1" x14ac:dyDescent="0.35">
      <c r="A463" s="3"/>
      <c r="B463" s="3"/>
      <c r="C463" s="3"/>
      <c r="D463" s="3"/>
      <c r="E463" s="3"/>
      <c r="F463" s="3"/>
      <c r="G463" s="3"/>
      <c r="H463" s="3"/>
      <c r="I463" s="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</row>
    <row r="464" spans="1:36" ht="14.25" customHeight="1" x14ac:dyDescent="0.35">
      <c r="A464" s="3"/>
      <c r="B464" s="3"/>
      <c r="C464" s="3"/>
      <c r="D464" s="3"/>
      <c r="E464" s="3"/>
      <c r="F464" s="3"/>
      <c r="G464" s="3"/>
      <c r="H464" s="3"/>
      <c r="I464" s="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</row>
    <row r="465" spans="1:36" ht="14.25" customHeight="1" x14ac:dyDescent="0.35">
      <c r="A465" s="3"/>
      <c r="B465" s="3"/>
      <c r="C465" s="3"/>
      <c r="D465" s="3"/>
      <c r="E465" s="3"/>
      <c r="F465" s="3"/>
      <c r="G465" s="3"/>
      <c r="H465" s="3"/>
      <c r="I465" s="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</row>
    <row r="466" spans="1:36" ht="14.25" customHeight="1" x14ac:dyDescent="0.35">
      <c r="A466" s="3"/>
      <c r="B466" s="3"/>
      <c r="C466" s="3"/>
      <c r="D466" s="3"/>
      <c r="E466" s="3"/>
      <c r="F466" s="3"/>
      <c r="G466" s="3"/>
      <c r="H466" s="3"/>
      <c r="I466" s="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</row>
    <row r="467" spans="1:36" ht="14.25" customHeight="1" x14ac:dyDescent="0.35">
      <c r="A467" s="3"/>
      <c r="B467" s="3"/>
      <c r="C467" s="3"/>
      <c r="D467" s="3"/>
      <c r="E467" s="3"/>
      <c r="F467" s="3"/>
      <c r="G467" s="3"/>
      <c r="H467" s="3"/>
      <c r="I467" s="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</row>
    <row r="468" spans="1:36" ht="14.25" customHeight="1" x14ac:dyDescent="0.35">
      <c r="A468" s="3"/>
      <c r="B468" s="3"/>
      <c r="C468" s="3"/>
      <c r="D468" s="3"/>
      <c r="E468" s="3"/>
      <c r="F468" s="3"/>
      <c r="G468" s="3"/>
      <c r="H468" s="3"/>
      <c r="I468" s="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</row>
    <row r="469" spans="1:36" ht="14.25" customHeight="1" x14ac:dyDescent="0.35">
      <c r="A469" s="3"/>
      <c r="B469" s="3"/>
      <c r="C469" s="3"/>
      <c r="D469" s="3"/>
      <c r="E469" s="3"/>
      <c r="F469" s="3"/>
      <c r="G469" s="3"/>
      <c r="H469" s="3"/>
      <c r="I469" s="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</row>
    <row r="470" spans="1:36" ht="14.25" customHeight="1" x14ac:dyDescent="0.35">
      <c r="A470" s="3"/>
      <c r="B470" s="3"/>
      <c r="C470" s="3"/>
      <c r="D470" s="3"/>
      <c r="E470" s="3"/>
      <c r="F470" s="3"/>
      <c r="G470" s="3"/>
      <c r="H470" s="3"/>
      <c r="I470" s="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</row>
    <row r="471" spans="1:36" ht="14.25" customHeight="1" x14ac:dyDescent="0.35">
      <c r="A471" s="3"/>
      <c r="B471" s="3"/>
      <c r="C471" s="3"/>
      <c r="D471" s="3"/>
      <c r="E471" s="3"/>
      <c r="F471" s="3"/>
      <c r="G471" s="3"/>
      <c r="H471" s="3"/>
      <c r="I471" s="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</row>
    <row r="472" spans="1:36" ht="14.25" customHeight="1" x14ac:dyDescent="0.35">
      <c r="A472" s="3"/>
      <c r="B472" s="3"/>
      <c r="C472" s="3"/>
      <c r="D472" s="3"/>
      <c r="E472" s="3"/>
      <c r="F472" s="3"/>
      <c r="G472" s="3"/>
      <c r="H472" s="3"/>
      <c r="I472" s="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</row>
    <row r="473" spans="1:36" ht="14.25" customHeight="1" x14ac:dyDescent="0.35">
      <c r="A473" s="3"/>
      <c r="B473" s="3"/>
      <c r="C473" s="3"/>
      <c r="D473" s="3"/>
      <c r="E473" s="3"/>
      <c r="F473" s="3"/>
      <c r="G473" s="3"/>
      <c r="H473" s="3"/>
      <c r="I473" s="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</row>
    <row r="474" spans="1:36" ht="14.25" customHeight="1" x14ac:dyDescent="0.35">
      <c r="A474" s="3"/>
      <c r="B474" s="3"/>
      <c r="C474" s="3"/>
      <c r="D474" s="3"/>
      <c r="E474" s="3"/>
      <c r="F474" s="3"/>
      <c r="G474" s="3"/>
      <c r="H474" s="3"/>
      <c r="I474" s="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</row>
    <row r="475" spans="1:36" ht="14.25" customHeight="1" x14ac:dyDescent="0.35">
      <c r="A475" s="3"/>
      <c r="B475" s="3"/>
      <c r="C475" s="3"/>
      <c r="D475" s="3"/>
      <c r="E475" s="3"/>
      <c r="F475" s="3"/>
      <c r="G475" s="3"/>
      <c r="H475" s="3"/>
      <c r="I475" s="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</row>
    <row r="476" spans="1:36" ht="14.25" customHeight="1" x14ac:dyDescent="0.35">
      <c r="A476" s="3"/>
      <c r="B476" s="3"/>
      <c r="C476" s="3"/>
      <c r="D476" s="3"/>
      <c r="E476" s="3"/>
      <c r="F476" s="3"/>
      <c r="G476" s="3"/>
      <c r="H476" s="3"/>
      <c r="I476" s="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</row>
    <row r="477" spans="1:36" ht="14.25" customHeight="1" x14ac:dyDescent="0.35">
      <c r="A477" s="3"/>
      <c r="B477" s="3"/>
      <c r="C477" s="3"/>
      <c r="D477" s="3"/>
      <c r="E477" s="3"/>
      <c r="F477" s="3"/>
      <c r="G477" s="3"/>
      <c r="H477" s="3"/>
      <c r="I477" s="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</row>
    <row r="478" spans="1:36" ht="14.25" customHeight="1" x14ac:dyDescent="0.35">
      <c r="A478" s="3"/>
      <c r="B478" s="3"/>
      <c r="C478" s="3"/>
      <c r="D478" s="3"/>
      <c r="E478" s="3"/>
      <c r="F478" s="3"/>
      <c r="G478" s="3"/>
      <c r="H478" s="3"/>
      <c r="I478" s="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</row>
    <row r="479" spans="1:36" ht="14.25" customHeight="1" x14ac:dyDescent="0.35">
      <c r="A479" s="3"/>
      <c r="B479" s="3"/>
      <c r="C479" s="3"/>
      <c r="D479" s="3"/>
      <c r="E479" s="3"/>
      <c r="F479" s="3"/>
      <c r="G479" s="3"/>
      <c r="H479" s="3"/>
      <c r="I479" s="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</row>
    <row r="480" spans="1:36" ht="14.25" customHeight="1" x14ac:dyDescent="0.35">
      <c r="A480" s="3"/>
      <c r="B480" s="3"/>
      <c r="C480" s="3"/>
      <c r="D480" s="3"/>
      <c r="E480" s="3"/>
      <c r="F480" s="3"/>
      <c r="G480" s="3"/>
      <c r="H480" s="3"/>
      <c r="I480" s="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</row>
    <row r="481" spans="1:36" ht="14.25" customHeight="1" x14ac:dyDescent="0.35">
      <c r="A481" s="3"/>
      <c r="B481" s="3"/>
      <c r="C481" s="3"/>
      <c r="D481" s="3"/>
      <c r="E481" s="3"/>
      <c r="F481" s="3"/>
      <c r="G481" s="3"/>
      <c r="H481" s="3"/>
      <c r="I481" s="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</row>
    <row r="482" spans="1:36" ht="14.25" customHeight="1" x14ac:dyDescent="0.35">
      <c r="A482" s="3"/>
      <c r="B482" s="3"/>
      <c r="C482" s="3"/>
      <c r="D482" s="3"/>
      <c r="E482" s="3"/>
      <c r="F482" s="3"/>
      <c r="G482" s="3"/>
      <c r="H482" s="3"/>
      <c r="I482" s="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</row>
    <row r="483" spans="1:36" ht="14.25" customHeight="1" x14ac:dyDescent="0.35">
      <c r="A483" s="3"/>
      <c r="B483" s="3"/>
      <c r="C483" s="3"/>
      <c r="D483" s="3"/>
      <c r="E483" s="3"/>
      <c r="F483" s="3"/>
      <c r="G483" s="3"/>
      <c r="H483" s="3"/>
      <c r="I483" s="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</row>
    <row r="484" spans="1:36" ht="14.25" customHeight="1" x14ac:dyDescent="0.35">
      <c r="A484" s="3"/>
      <c r="B484" s="3"/>
      <c r="C484" s="3"/>
      <c r="D484" s="3"/>
      <c r="E484" s="3"/>
      <c r="F484" s="3"/>
      <c r="G484" s="3"/>
      <c r="H484" s="3"/>
      <c r="I484" s="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</row>
    <row r="485" spans="1:36" ht="14.25" customHeight="1" x14ac:dyDescent="0.35">
      <c r="A485" s="3"/>
      <c r="B485" s="3"/>
      <c r="C485" s="3"/>
      <c r="D485" s="3"/>
      <c r="E485" s="3"/>
      <c r="F485" s="3"/>
      <c r="G485" s="3"/>
      <c r="H485" s="3"/>
      <c r="I485" s="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</row>
    <row r="486" spans="1:36" ht="14.25" customHeight="1" x14ac:dyDescent="0.35">
      <c r="A486" s="3"/>
      <c r="B486" s="3"/>
      <c r="C486" s="3"/>
      <c r="D486" s="3"/>
      <c r="E486" s="3"/>
      <c r="F486" s="3"/>
      <c r="G486" s="3"/>
      <c r="H486" s="3"/>
      <c r="I486" s="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</row>
    <row r="487" spans="1:36" ht="14.25" customHeight="1" x14ac:dyDescent="0.35">
      <c r="A487" s="3"/>
      <c r="B487" s="3"/>
      <c r="C487" s="3"/>
      <c r="D487" s="3"/>
      <c r="E487" s="3"/>
      <c r="F487" s="3"/>
      <c r="G487" s="3"/>
      <c r="H487" s="3"/>
      <c r="I487" s="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</row>
    <row r="488" spans="1:36" ht="14.25" customHeight="1" x14ac:dyDescent="0.35">
      <c r="A488" s="3"/>
      <c r="B488" s="3"/>
      <c r="C488" s="3"/>
      <c r="D488" s="3"/>
      <c r="E488" s="3"/>
      <c r="F488" s="3"/>
      <c r="G488" s="3"/>
      <c r="H488" s="3"/>
      <c r="I488" s="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</row>
    <row r="489" spans="1:36" ht="14.25" customHeight="1" x14ac:dyDescent="0.35">
      <c r="A489" s="3"/>
      <c r="B489" s="3"/>
      <c r="C489" s="3"/>
      <c r="D489" s="3"/>
      <c r="E489" s="3"/>
      <c r="F489" s="3"/>
      <c r="G489" s="3"/>
      <c r="H489" s="3"/>
      <c r="I489" s="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</row>
    <row r="490" spans="1:36" ht="14.25" customHeight="1" x14ac:dyDescent="0.35">
      <c r="A490" s="3"/>
      <c r="B490" s="3"/>
      <c r="C490" s="3"/>
      <c r="D490" s="3"/>
      <c r="E490" s="3"/>
      <c r="F490" s="3"/>
      <c r="G490" s="3"/>
      <c r="H490" s="3"/>
      <c r="I490" s="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</row>
    <row r="491" spans="1:36" ht="14.25" customHeight="1" x14ac:dyDescent="0.35">
      <c r="A491" s="3"/>
      <c r="B491" s="3"/>
      <c r="C491" s="3"/>
      <c r="D491" s="3"/>
      <c r="E491" s="3"/>
      <c r="F491" s="3"/>
      <c r="G491" s="3"/>
      <c r="H491" s="3"/>
      <c r="I491" s="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</row>
    <row r="492" spans="1:36" ht="14.25" customHeight="1" x14ac:dyDescent="0.35">
      <c r="A492" s="3"/>
      <c r="B492" s="3"/>
      <c r="C492" s="3"/>
      <c r="D492" s="3"/>
      <c r="E492" s="3"/>
      <c r="F492" s="3"/>
      <c r="G492" s="3"/>
      <c r="H492" s="3"/>
      <c r="I492" s="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</row>
    <row r="493" spans="1:36" ht="14.25" customHeight="1" x14ac:dyDescent="0.35">
      <c r="A493" s="3"/>
      <c r="B493" s="3"/>
      <c r="C493" s="3"/>
      <c r="D493" s="3"/>
      <c r="E493" s="3"/>
      <c r="F493" s="3"/>
      <c r="G493" s="3"/>
      <c r="H493" s="3"/>
      <c r="I493" s="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</row>
    <row r="494" spans="1:36" ht="14.25" customHeight="1" x14ac:dyDescent="0.35">
      <c r="A494" s="3"/>
      <c r="B494" s="3"/>
      <c r="C494" s="3"/>
      <c r="D494" s="3"/>
      <c r="E494" s="3"/>
      <c r="F494" s="3"/>
      <c r="G494" s="3"/>
      <c r="H494" s="3"/>
      <c r="I494" s="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</row>
    <row r="495" spans="1:36" ht="14.25" customHeight="1" x14ac:dyDescent="0.35">
      <c r="A495" s="3"/>
      <c r="B495" s="3"/>
      <c r="C495" s="3"/>
      <c r="D495" s="3"/>
      <c r="E495" s="3"/>
      <c r="F495" s="3"/>
      <c r="G495" s="3"/>
      <c r="H495" s="3"/>
      <c r="I495" s="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</row>
    <row r="496" spans="1:36" ht="14.25" customHeight="1" x14ac:dyDescent="0.35">
      <c r="A496" s="3"/>
      <c r="B496" s="3"/>
      <c r="C496" s="3"/>
      <c r="D496" s="3"/>
      <c r="E496" s="3"/>
      <c r="F496" s="3"/>
      <c r="G496" s="3"/>
      <c r="H496" s="3"/>
      <c r="I496" s="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</row>
    <row r="497" spans="1:36" ht="14.25" customHeight="1" x14ac:dyDescent="0.35">
      <c r="A497" s="3"/>
      <c r="B497" s="3"/>
      <c r="C497" s="3"/>
      <c r="D497" s="3"/>
      <c r="E497" s="3"/>
      <c r="F497" s="3"/>
      <c r="G497" s="3"/>
      <c r="H497" s="3"/>
      <c r="I497" s="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</row>
    <row r="498" spans="1:36" ht="14.25" customHeight="1" x14ac:dyDescent="0.35">
      <c r="A498" s="3"/>
      <c r="B498" s="3"/>
      <c r="C498" s="3"/>
      <c r="D498" s="3"/>
      <c r="E498" s="3"/>
      <c r="F498" s="3"/>
      <c r="G498" s="3"/>
      <c r="H498" s="3"/>
      <c r="I498" s="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</row>
    <row r="499" spans="1:36" ht="14.25" customHeight="1" x14ac:dyDescent="0.35">
      <c r="A499" s="3"/>
      <c r="B499" s="3"/>
      <c r="C499" s="3"/>
      <c r="D499" s="3"/>
      <c r="E499" s="3"/>
      <c r="F499" s="3"/>
      <c r="G499" s="3"/>
      <c r="H499" s="3"/>
      <c r="I499" s="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</row>
    <row r="500" spans="1:36" ht="14.25" customHeight="1" x14ac:dyDescent="0.35">
      <c r="A500" s="3"/>
      <c r="B500" s="3"/>
      <c r="C500" s="3"/>
      <c r="D500" s="3"/>
      <c r="E500" s="3"/>
      <c r="F500" s="3"/>
      <c r="G500" s="3"/>
      <c r="H500" s="3"/>
      <c r="I500" s="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</row>
    <row r="501" spans="1:36" ht="14.25" customHeight="1" x14ac:dyDescent="0.35">
      <c r="A501" s="3"/>
      <c r="B501" s="3"/>
      <c r="C501" s="3"/>
      <c r="D501" s="3"/>
      <c r="E501" s="3"/>
      <c r="F501" s="3"/>
      <c r="G501" s="3"/>
      <c r="H501" s="3"/>
      <c r="I501" s="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</row>
    <row r="502" spans="1:36" ht="14.25" customHeight="1" x14ac:dyDescent="0.35">
      <c r="A502" s="3"/>
      <c r="B502" s="3"/>
      <c r="C502" s="3"/>
      <c r="D502" s="3"/>
      <c r="E502" s="3"/>
      <c r="F502" s="3"/>
      <c r="G502" s="3"/>
      <c r="H502" s="3"/>
      <c r="I502" s="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</row>
    <row r="503" spans="1:36" ht="14.25" customHeight="1" x14ac:dyDescent="0.35">
      <c r="A503" s="3"/>
      <c r="B503" s="3"/>
      <c r="C503" s="3"/>
      <c r="D503" s="3"/>
      <c r="E503" s="3"/>
      <c r="F503" s="3"/>
      <c r="G503" s="3"/>
      <c r="H503" s="3"/>
      <c r="I503" s="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</row>
    <row r="504" spans="1:36" ht="14.25" customHeight="1" x14ac:dyDescent="0.35">
      <c r="A504" s="3"/>
      <c r="B504" s="3"/>
      <c r="C504" s="3"/>
      <c r="D504" s="3"/>
      <c r="E504" s="3"/>
      <c r="F504" s="3"/>
      <c r="G504" s="3"/>
      <c r="H504" s="3"/>
      <c r="I504" s="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</row>
    <row r="505" spans="1:36" ht="14.25" customHeight="1" x14ac:dyDescent="0.35">
      <c r="A505" s="3"/>
      <c r="B505" s="3"/>
      <c r="C505" s="3"/>
      <c r="D505" s="3"/>
      <c r="E505" s="3"/>
      <c r="F505" s="3"/>
      <c r="G505" s="3"/>
      <c r="H505" s="3"/>
      <c r="I505" s="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</row>
    <row r="506" spans="1:36" ht="14.25" customHeight="1" x14ac:dyDescent="0.35">
      <c r="A506" s="3"/>
      <c r="B506" s="3"/>
      <c r="C506" s="3"/>
      <c r="D506" s="3"/>
      <c r="E506" s="3"/>
      <c r="F506" s="3"/>
      <c r="G506" s="3"/>
      <c r="H506" s="3"/>
      <c r="I506" s="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</row>
    <row r="507" spans="1:36" ht="14.25" customHeight="1" x14ac:dyDescent="0.35">
      <c r="A507" s="3"/>
      <c r="B507" s="3"/>
      <c r="C507" s="3"/>
      <c r="D507" s="3"/>
      <c r="E507" s="3"/>
      <c r="F507" s="3"/>
      <c r="G507" s="3"/>
      <c r="H507" s="3"/>
      <c r="I507" s="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</row>
    <row r="508" spans="1:36" ht="14.25" customHeight="1" x14ac:dyDescent="0.35">
      <c r="A508" s="3"/>
      <c r="B508" s="3"/>
      <c r="C508" s="3"/>
      <c r="D508" s="3"/>
      <c r="E508" s="3"/>
      <c r="F508" s="3"/>
      <c r="G508" s="3"/>
      <c r="H508" s="3"/>
      <c r="I508" s="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</row>
    <row r="509" spans="1:36" ht="14.25" customHeight="1" x14ac:dyDescent="0.35">
      <c r="A509" s="3"/>
      <c r="B509" s="3"/>
      <c r="C509" s="3"/>
      <c r="D509" s="3"/>
      <c r="E509" s="3"/>
      <c r="F509" s="3"/>
      <c r="G509" s="3"/>
      <c r="H509" s="3"/>
      <c r="I509" s="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</row>
    <row r="510" spans="1:36" ht="14.25" customHeight="1" x14ac:dyDescent="0.35">
      <c r="A510" s="3"/>
      <c r="B510" s="3"/>
      <c r="C510" s="3"/>
      <c r="D510" s="3"/>
      <c r="E510" s="3"/>
      <c r="F510" s="3"/>
      <c r="G510" s="3"/>
      <c r="H510" s="3"/>
      <c r="I510" s="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</row>
    <row r="511" spans="1:36" ht="14.25" customHeight="1" x14ac:dyDescent="0.35">
      <c r="A511" s="3"/>
      <c r="B511" s="3"/>
      <c r="C511" s="3"/>
      <c r="D511" s="3"/>
      <c r="E511" s="3"/>
      <c r="F511" s="3"/>
      <c r="G511" s="3"/>
      <c r="H511" s="3"/>
      <c r="I511" s="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</row>
    <row r="512" spans="1:36" ht="14.25" customHeight="1" x14ac:dyDescent="0.35">
      <c r="A512" s="3"/>
      <c r="B512" s="3"/>
      <c r="C512" s="3"/>
      <c r="D512" s="3"/>
      <c r="E512" s="3"/>
      <c r="F512" s="3"/>
      <c r="G512" s="3"/>
      <c r="H512" s="3"/>
      <c r="I512" s="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</row>
    <row r="513" spans="1:36" ht="14.25" customHeight="1" x14ac:dyDescent="0.35">
      <c r="A513" s="3"/>
      <c r="B513" s="3"/>
      <c r="C513" s="3"/>
      <c r="D513" s="3"/>
      <c r="E513" s="3"/>
      <c r="F513" s="3"/>
      <c r="G513" s="3"/>
      <c r="H513" s="3"/>
      <c r="I513" s="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</row>
    <row r="514" spans="1:36" ht="14.25" customHeight="1" x14ac:dyDescent="0.35">
      <c r="A514" s="3"/>
      <c r="B514" s="3"/>
      <c r="C514" s="3"/>
      <c r="D514" s="3"/>
      <c r="E514" s="3"/>
      <c r="F514" s="3"/>
      <c r="G514" s="3"/>
      <c r="H514" s="3"/>
      <c r="I514" s="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</row>
    <row r="515" spans="1:36" ht="14.25" customHeight="1" x14ac:dyDescent="0.35">
      <c r="A515" s="3"/>
      <c r="B515" s="3"/>
      <c r="C515" s="3"/>
      <c r="D515" s="3"/>
      <c r="E515" s="3"/>
      <c r="F515" s="3"/>
      <c r="G515" s="3"/>
      <c r="H515" s="3"/>
      <c r="I515" s="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</row>
    <row r="516" spans="1:36" ht="14.25" customHeight="1" x14ac:dyDescent="0.35">
      <c r="A516" s="3"/>
      <c r="B516" s="3"/>
      <c r="C516" s="3"/>
      <c r="D516" s="3"/>
      <c r="E516" s="3"/>
      <c r="F516" s="3"/>
      <c r="G516" s="3"/>
      <c r="H516" s="3"/>
      <c r="I516" s="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</row>
    <row r="517" spans="1:36" ht="14.25" customHeight="1" x14ac:dyDescent="0.35">
      <c r="A517" s="3"/>
      <c r="B517" s="3"/>
      <c r="C517" s="3"/>
      <c r="D517" s="3"/>
      <c r="E517" s="3"/>
      <c r="F517" s="3"/>
      <c r="G517" s="3"/>
      <c r="H517" s="3"/>
      <c r="I517" s="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</row>
    <row r="518" spans="1:36" ht="14.25" customHeight="1" x14ac:dyDescent="0.35">
      <c r="A518" s="3"/>
      <c r="B518" s="3"/>
      <c r="C518" s="3"/>
      <c r="D518" s="3"/>
      <c r="E518" s="3"/>
      <c r="F518" s="3"/>
      <c r="G518" s="3"/>
      <c r="H518" s="3"/>
      <c r="I518" s="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</row>
    <row r="519" spans="1:36" ht="14.25" customHeight="1" x14ac:dyDescent="0.35">
      <c r="A519" s="3"/>
      <c r="B519" s="3"/>
      <c r="C519" s="3"/>
      <c r="D519" s="3"/>
      <c r="E519" s="3"/>
      <c r="F519" s="3"/>
      <c r="G519" s="3"/>
      <c r="H519" s="3"/>
      <c r="I519" s="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</row>
    <row r="520" spans="1:36" ht="14.25" customHeight="1" x14ac:dyDescent="0.35">
      <c r="A520" s="3"/>
      <c r="B520" s="3"/>
      <c r="C520" s="3"/>
      <c r="D520" s="3"/>
      <c r="E520" s="3"/>
      <c r="F520" s="3"/>
      <c r="G520" s="3"/>
      <c r="H520" s="3"/>
      <c r="I520" s="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</row>
    <row r="521" spans="1:36" ht="14.25" customHeight="1" x14ac:dyDescent="0.35">
      <c r="A521" s="3"/>
      <c r="B521" s="3"/>
      <c r="C521" s="3"/>
      <c r="D521" s="3"/>
      <c r="E521" s="3"/>
      <c r="F521" s="3"/>
      <c r="G521" s="3"/>
      <c r="H521" s="3"/>
      <c r="I521" s="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</row>
    <row r="522" spans="1:36" ht="14.25" customHeight="1" x14ac:dyDescent="0.35">
      <c r="A522" s="3"/>
      <c r="B522" s="3"/>
      <c r="C522" s="3"/>
      <c r="D522" s="3"/>
      <c r="E522" s="3"/>
      <c r="F522" s="3"/>
      <c r="G522" s="3"/>
      <c r="H522" s="3"/>
      <c r="I522" s="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</row>
    <row r="523" spans="1:36" ht="14.25" customHeight="1" x14ac:dyDescent="0.35">
      <c r="A523" s="3"/>
      <c r="B523" s="3"/>
      <c r="C523" s="3"/>
      <c r="D523" s="3"/>
      <c r="E523" s="3"/>
      <c r="F523" s="3"/>
      <c r="G523" s="3"/>
      <c r="H523" s="3"/>
      <c r="I523" s="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</row>
    <row r="524" spans="1:36" ht="14.25" customHeight="1" x14ac:dyDescent="0.35">
      <c r="A524" s="3"/>
      <c r="B524" s="3"/>
      <c r="C524" s="3"/>
      <c r="D524" s="3"/>
      <c r="E524" s="3"/>
      <c r="F524" s="3"/>
      <c r="G524" s="3"/>
      <c r="H524" s="3"/>
      <c r="I524" s="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</row>
    <row r="525" spans="1:36" ht="14.25" customHeight="1" x14ac:dyDescent="0.35">
      <c r="A525" s="3"/>
      <c r="B525" s="3"/>
      <c r="C525" s="3"/>
      <c r="D525" s="3"/>
      <c r="E525" s="3"/>
      <c r="F525" s="3"/>
      <c r="G525" s="3"/>
      <c r="H525" s="3"/>
      <c r="I525" s="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</row>
    <row r="526" spans="1:36" ht="14.25" customHeight="1" x14ac:dyDescent="0.35">
      <c r="A526" s="3"/>
      <c r="B526" s="3"/>
      <c r="C526" s="3"/>
      <c r="D526" s="3"/>
      <c r="E526" s="3"/>
      <c r="F526" s="3"/>
      <c r="G526" s="3"/>
      <c r="H526" s="3"/>
      <c r="I526" s="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</row>
    <row r="527" spans="1:36" ht="14.25" customHeight="1" x14ac:dyDescent="0.35">
      <c r="A527" s="3"/>
      <c r="B527" s="3"/>
      <c r="C527" s="3"/>
      <c r="D527" s="3"/>
      <c r="E527" s="3"/>
      <c r="F527" s="3"/>
      <c r="G527" s="3"/>
      <c r="H527" s="3"/>
      <c r="I527" s="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</row>
    <row r="528" spans="1:36" ht="14.25" customHeight="1" x14ac:dyDescent="0.35">
      <c r="A528" s="3"/>
      <c r="B528" s="3"/>
      <c r="C528" s="3"/>
      <c r="D528" s="3"/>
      <c r="E528" s="3"/>
      <c r="F528" s="3"/>
      <c r="G528" s="3"/>
      <c r="H528" s="3"/>
      <c r="I528" s="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</row>
    <row r="529" spans="1:36" ht="14.25" customHeight="1" x14ac:dyDescent="0.35">
      <c r="A529" s="3"/>
      <c r="B529" s="3"/>
      <c r="C529" s="3"/>
      <c r="D529" s="3"/>
      <c r="E529" s="3"/>
      <c r="F529" s="3"/>
      <c r="G529" s="3"/>
      <c r="H529" s="3"/>
      <c r="I529" s="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</row>
    <row r="530" spans="1:36" ht="14.25" customHeight="1" x14ac:dyDescent="0.35">
      <c r="I530" s="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</row>
    <row r="531" spans="1:36" ht="14.25" customHeight="1" x14ac:dyDescent="0.35">
      <c r="I531" s="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</row>
    <row r="532" spans="1:36" ht="14.25" customHeight="1" x14ac:dyDescent="0.35">
      <c r="I532" s="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</row>
    <row r="533" spans="1:36" ht="14.25" customHeight="1" x14ac:dyDescent="0.35">
      <c r="I533" s="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</row>
    <row r="534" spans="1:36" ht="14.25" customHeight="1" x14ac:dyDescent="0.35"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</row>
    <row r="535" spans="1:36" ht="14.25" customHeight="1" x14ac:dyDescent="0.35"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</row>
    <row r="536" spans="1:36" ht="14.25" customHeight="1" x14ac:dyDescent="0.35"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</row>
    <row r="537" spans="1:36" ht="14.25" customHeight="1" x14ac:dyDescent="0.35"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</row>
    <row r="538" spans="1:36" ht="14.25" customHeight="1" x14ac:dyDescent="0.35"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</row>
    <row r="539" spans="1:36" ht="14.25" customHeight="1" x14ac:dyDescent="0.35"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</row>
    <row r="540" spans="1:36" ht="14.25" customHeight="1" x14ac:dyDescent="0.35"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</row>
    <row r="541" spans="1:36" ht="14.25" customHeight="1" x14ac:dyDescent="0.35"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</row>
    <row r="542" spans="1:36" ht="14.25" customHeight="1" x14ac:dyDescent="0.35"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</row>
    <row r="543" spans="1:36" ht="14.25" customHeight="1" x14ac:dyDescent="0.35"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</row>
    <row r="544" spans="1:36" ht="14.25" customHeight="1" x14ac:dyDescent="0.35"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</row>
    <row r="545" spans="10:36" ht="14.25" customHeight="1" x14ac:dyDescent="0.35"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</row>
    <row r="546" spans="10:36" ht="14.25" customHeight="1" x14ac:dyDescent="0.35"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</row>
    <row r="547" spans="10:36" ht="14.25" customHeight="1" x14ac:dyDescent="0.35"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</row>
    <row r="548" spans="10:36" ht="14.25" customHeight="1" x14ac:dyDescent="0.35"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</row>
    <row r="549" spans="10:36" ht="14.25" customHeight="1" x14ac:dyDescent="0.35"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</row>
  </sheetData>
  <dataValidations count="3">
    <dataValidation type="list" allowBlank="1" showErrorMessage="1" sqref="C1" xr:uid="{43D09597-E2CC-4AEB-BEC7-D86BA152CAA7}">
      <formula1>$AF$38:$AF$40</formula1>
    </dataValidation>
    <dataValidation type="list" allowBlank="1" showErrorMessage="1" sqref="AF33" xr:uid="{9665DA43-4D54-47EC-95DE-D8C860BA16E5}">
      <formula1>$AF$36:$AF$40</formula1>
    </dataValidation>
    <dataValidation allowBlank="1" showErrorMessage="1" sqref="C2:C3" xr:uid="{3FA9B4E4-2453-45C4-BF99-A6A90DE91E94}"/>
  </dataValidations>
  <hyperlinks>
    <hyperlink ref="I106" r:id="rId1" xr:uid="{6544D191-EF72-4AC8-8B27-D9B5A8990B84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vu</dc:creator>
  <cp:lastModifiedBy>Mai Vu Thi Quynh</cp:lastModifiedBy>
  <dcterms:created xsi:type="dcterms:W3CDTF">2022-11-23T11:19:16Z</dcterms:created>
  <dcterms:modified xsi:type="dcterms:W3CDTF">2023-09-25T08:39:42Z</dcterms:modified>
</cp:coreProperties>
</file>